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2" windowWidth="15456" windowHeight="12384" activeTab="0"/>
  </bookViews>
  <sheets>
    <sheet name="Leiðbeiningar" sheetId="1" r:id="rId1"/>
    <sheet name="V-laga skörp yfirföll" sheetId="2" r:id="rId2"/>
    <sheet name="Rétthyrnings skörp yfirföll" sheetId="3" r:id="rId3"/>
    <sheet name=" Rétthyrnings þykk yfirföll" sheetId="4" r:id="rId4"/>
  </sheets>
  <definedNames>
    <definedName name="solver_adj" localSheetId="1" hidden="1">'V-laga skörp yfirföll'!$B$17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'V-laga skörp yfirföll'!$C$17</definedName>
    <definedName name="solver_lhs2" localSheetId="1" hidden="1">'V-laga skörp yfirföll'!$B$17</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'V-laga skörp yfirföll'!$C$17</definedName>
    <definedName name="solver_pre" localSheetId="1" hidden="1">0.000001</definedName>
    <definedName name="solver_rel1" localSheetId="1" hidden="1">3</definedName>
    <definedName name="solver_rel2" localSheetId="1" hidden="1">4</definedName>
    <definedName name="solver_rhs1" localSheetId="1" hidden="1">0.1</definedName>
    <definedName name="solver_rhs2" localSheetId="1" hidden="1">integer</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fullCalcOnLoad="1"/>
</workbook>
</file>

<file path=xl/sharedStrings.xml><?xml version="1.0" encoding="utf-8"?>
<sst xmlns="http://schemas.openxmlformats.org/spreadsheetml/2006/main" count="168" uniqueCount="89">
  <si>
    <t>V-laga yfirfall með skarpri brún (&lt;2 mm þykkri)</t>
  </si>
  <si>
    <t>Mælistaður og vatnsfall:</t>
  </si>
  <si>
    <t>Kennistærðir:</t>
  </si>
  <si>
    <t>Dagsetning</t>
  </si>
  <si>
    <t>kl.</t>
  </si>
  <si>
    <t>Veðurlýsing, vindar, hiti, úrkoma</t>
  </si>
  <si>
    <t>Athugasemdir, ístruflanir o.fl.</t>
  </si>
  <si>
    <t>Mæld vatnshæð, h1 (cm)</t>
  </si>
  <si>
    <t>Rennsli, Q (l/s)</t>
  </si>
  <si>
    <t>Athugasemd</t>
  </si>
  <si>
    <t>Contracted</t>
  </si>
  <si>
    <t>Theta °</t>
  </si>
  <si>
    <t>Kh (mm)</t>
  </si>
  <si>
    <t>Breidd farvegar, B</t>
  </si>
  <si>
    <t>m</t>
  </si>
  <si>
    <t>Logn</t>
  </si>
  <si>
    <t>Breidd yfirfallsskarðs, b</t>
  </si>
  <si>
    <t>SSA 3, rigning</t>
  </si>
  <si>
    <t>Lengd skábrúnar, c</t>
  </si>
  <si>
    <t>°</t>
  </si>
  <si>
    <t>Þröskuldshæð, ofan yfirfalls, p</t>
  </si>
  <si>
    <t>cm</t>
  </si>
  <si>
    <t>Þröskuldshæð, neðan stíflu, r &gt; 5 cm</t>
  </si>
  <si>
    <t>l/s</t>
  </si>
  <si>
    <t>Fyrir fully contracted</t>
  </si>
  <si>
    <t>Ce</t>
  </si>
  <si>
    <t>Mesta leyfileg vatnshæð (fully contracted)</t>
  </si>
  <si>
    <t>Kh</t>
  </si>
  <si>
    <t>Ce (Fully contracted)</t>
  </si>
  <si>
    <t>mm</t>
  </si>
  <si>
    <t>p/B</t>
  </si>
  <si>
    <t>Athugasemdir:</t>
  </si>
  <si>
    <t>Fyrir 90° ef ekki fully contracted</t>
  </si>
  <si>
    <t>h1/p ; p/B</t>
  </si>
  <si>
    <t>Ce (1)</t>
  </si>
  <si>
    <t>Ce (0,9)</t>
  </si>
  <si>
    <t>Ce (0,8)</t>
  </si>
  <si>
    <t>Ce (0,7)</t>
  </si>
  <si>
    <t>Ce(0,6)</t>
  </si>
  <si>
    <t>Ce(0,5)</t>
  </si>
  <si>
    <t>Ce(0,4)</t>
  </si>
  <si>
    <t>Ce(0,3)</t>
  </si>
  <si>
    <t>Ce(0,2)</t>
  </si>
  <si>
    <t>Ce(0,1)</t>
  </si>
  <si>
    <r>
      <t xml:space="preserve">Horn yfirfalls í gráðum (ef þekkt), </t>
    </r>
    <r>
      <rPr>
        <sz val="10"/>
        <rFont val="Symbol"/>
        <family val="1"/>
      </rPr>
      <t>q</t>
    </r>
  </si>
  <si>
    <r>
      <t>Fjarlægð kvarða frá stíflu, (2 - 3 sinnum h</t>
    </r>
    <r>
      <rPr>
        <vertAlign val="subscript"/>
        <sz val="10"/>
        <rFont val="Arial"/>
        <family val="2"/>
      </rPr>
      <t>max</t>
    </r>
    <r>
      <rPr>
        <sz val="10"/>
        <rFont val="Arial"/>
        <family val="2"/>
      </rPr>
      <t>)</t>
    </r>
  </si>
  <si>
    <r>
      <t xml:space="preserve">Horn yfirfalls, </t>
    </r>
    <r>
      <rPr>
        <sz val="10"/>
        <rFont val="Symbol"/>
        <family val="1"/>
      </rPr>
      <t>q</t>
    </r>
  </si>
  <si>
    <r>
      <t>Minnsta leyfileg vatnshæð, h</t>
    </r>
    <r>
      <rPr>
        <vertAlign val="subscript"/>
        <sz val="10"/>
        <rFont val="Arial"/>
        <family val="2"/>
      </rPr>
      <t>min</t>
    </r>
  </si>
  <si>
    <r>
      <t>Mesta leyfileg vatnshæð, h</t>
    </r>
    <r>
      <rPr>
        <vertAlign val="subscript"/>
        <sz val="10"/>
        <rFont val="Arial"/>
        <family val="2"/>
      </rPr>
      <t>max</t>
    </r>
  </si>
  <si>
    <r>
      <t>Minnsta mælanlegt rennsli, Q</t>
    </r>
    <r>
      <rPr>
        <vertAlign val="subscript"/>
        <sz val="10"/>
        <rFont val="Arial"/>
        <family val="2"/>
      </rPr>
      <t>min</t>
    </r>
  </si>
  <si>
    <r>
      <t>Mesta mælanlegt rennsli, Q</t>
    </r>
    <r>
      <rPr>
        <vertAlign val="subscript"/>
        <sz val="10"/>
        <rFont val="Arial"/>
        <family val="2"/>
      </rPr>
      <t>max</t>
    </r>
  </si>
  <si>
    <t>Rétthyrningslaga yfirfall með skarpri brún (&lt;2 mm þykkri)</t>
  </si>
  <si>
    <t>b/B</t>
  </si>
  <si>
    <t>Ce = c1 + c2*h1/p</t>
  </si>
  <si>
    <t>Hæð frá botni upp að skarði, p</t>
  </si>
  <si>
    <t>c1</t>
  </si>
  <si>
    <t>c2</t>
  </si>
  <si>
    <t>Fjarlægð frá skarði niður að vatnsborði neðan stíflu, r &gt; 5 cm</t>
  </si>
  <si>
    <t>Kb</t>
  </si>
  <si>
    <r>
      <t>Fjarlægð kvarða frá stíflu, 2-3 sinnum h</t>
    </r>
    <r>
      <rPr>
        <vertAlign val="subscript"/>
        <sz val="10"/>
        <rFont val="Arial"/>
        <family val="2"/>
      </rPr>
      <t>max</t>
    </r>
  </si>
  <si>
    <t>Rétthyrningslaga yfirfall með þykkri brún</t>
  </si>
  <si>
    <t>Cv (figure 1.12)</t>
  </si>
  <si>
    <t>Cd</t>
  </si>
  <si>
    <t>Cv</t>
  </si>
  <si>
    <t>CdA*/A1</t>
  </si>
  <si>
    <t>Þykkt yfirfalls, L</t>
  </si>
  <si>
    <t>Cd, min</t>
  </si>
  <si>
    <t>Cv, min</t>
  </si>
  <si>
    <t>Cd, max</t>
  </si>
  <si>
    <t>Cv, max</t>
  </si>
  <si>
    <t>F</t>
  </si>
  <si>
    <t>h1/L ; h1/(h1+p)</t>
  </si>
  <si>
    <r>
      <t>Fjarlægð kvarða frá stíflu, 2 - 3 sinnum h</t>
    </r>
    <r>
      <rPr>
        <vertAlign val="subscript"/>
        <sz val="10"/>
        <rFont val="Arial"/>
        <family val="2"/>
      </rPr>
      <t>max</t>
    </r>
  </si>
  <si>
    <t>Útreikningarnir í þessu Excel skjali eru samkvæmt mæliniðurstöðum sem birtar eru í bókinni Discharge measurement structures (Bos, M.G. 1978).</t>
  </si>
  <si>
    <t>Þverskurður timburstíflu í lausum jarðvegi</t>
  </si>
  <si>
    <t>Öll yfirföll</t>
  </si>
  <si>
    <t>Mæld vatnshæð h</t>
  </si>
  <si>
    <t>Þröskuldshæð, neðan yfirfalls, r</t>
  </si>
  <si>
    <t>Timburstífla, með V-laga skörpu yfirfalli</t>
  </si>
  <si>
    <t>V-laga yfirfall</t>
  </si>
  <si>
    <t>Timburstífla, með rétthyrningslaga skörpu yfirfalli</t>
  </si>
  <si>
    <t>Rétthyrningslaga yfirfall</t>
  </si>
  <si>
    <t>Í þessu Excel skjali eru hægt að slá inn kennistærðir stíflu og mælda vatnshæð og reiknast þá rennsli fyrir hverja mælda vatnshæð. Mælt er þó með að halda skrá yfir vatnshæðarmælingar einnig á pappírsformi og má fá hentugar bækur til þess hjá Vatnamælingum Orkustofnunar.</t>
  </si>
  <si>
    <t>Hafa ber þó í huga að ekki er hægt að reikna rennsli fyrir allar tegundir stíflna og því er gott að skoða Excel skjalið áður en hafist er handa, slá inn í skjalið kennistærðir áætlaðrar stíflu með hliðsjón af lauslegri áætlun á rennsli út frá yfirborðshraða vatnsins ásamt breidd og dýpt farvegar, og kemur þá fram þar hvort og hversu mikið rennsli er hægt að mæla með tiltekinni stíflu. Kennistærðir yfirfallanna eru skýrðar á myndunum hér að neðan.</t>
  </si>
  <si>
    <t>Í þessari fyrstu útgáfu eru þrjár gerðir yfirfalla teknar fyrir, V-laga yfirfall með skarpri brún, rétthyrningslaga yfirfall með skarpri brún og rétthyrningslaga yfirföll með þykkri brún. Hvert um sig er í sérstöku vinnublaði og hægt er að fletta á milli þeirra neðst á skjánum.</t>
  </si>
  <si>
    <r>
      <t>Á vinnublöðunum eru blálitaðir reitir sem notandi getur fyllt út, aðra reiti er ekki hægt að skrifa í. Þar á að fylla út kennistærðir yfirfallsins og kemur þá fram neðan kennistærðanna hvert mælisvið stíflunnar er, þ.e.a.s. fyrir hvaða vatnshæð sé hægt að reikna rennsli og hvert sé mesta og minnsta rennslið sem mælanlegt sé með viðkomandi yfirfalli. V-laga yfirfallið hentar betur ef mæla á lágt rennsli (10-300 l/s) en rétthyrningslaga yfirföllin henta betur ef um er að ræða meira rennsli (allt að 5 m</t>
    </r>
    <r>
      <rPr>
        <vertAlign val="superscript"/>
        <sz val="10"/>
        <rFont val="Arial"/>
        <family val="2"/>
      </rPr>
      <t>3</t>
    </r>
    <r>
      <rPr>
        <sz val="10"/>
        <rFont val="Arial"/>
        <family val="0"/>
      </rPr>
      <t>/s).</t>
    </r>
  </si>
  <si>
    <t>Þykkt þröskuldar vísar til þykktar á yfirfallsbrún</t>
  </si>
  <si>
    <t>Jóna Finndís Jónsdóttir, 6. nóvember 2002</t>
  </si>
  <si>
    <t>Yfirfall 1.1</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</si>
</sst>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00"/>
    <numFmt numFmtId="165" formatCode="0.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
    <numFmt numFmtId="175" formatCode="mmm/yyyy"/>
    <numFmt numFmtId="176" formatCode="m/d"/>
    <numFmt numFmtId="177" formatCode="d\-mmm\-yyyy"/>
  </numFmts>
  <fonts count="51">
    <font>
      <sz val="10"/>
      <name val="Arial"/>
      <family val="0"/>
    </font>
    <font>
      <b/>
      <sz val="11"/>
      <name val="Arial"/>
      <family val="2"/>
    </font>
    <font>
      <sz val="10"/>
      <color indexed="9"/>
      <name val="Arial"/>
      <family val="2"/>
    </font>
    <font>
      <b/>
      <sz val="10"/>
      <name val="Arial"/>
      <family val="2"/>
    </font>
    <font>
      <sz val="10"/>
      <name val="Symbol"/>
      <family val="1"/>
    </font>
    <font>
      <vertAlign val="subscript"/>
      <sz val="10"/>
      <name val="Arial"/>
      <family val="2"/>
    </font>
    <font>
      <b/>
      <sz val="10"/>
      <color indexed="9"/>
      <name val="Arial"/>
      <family val="2"/>
    </font>
    <font>
      <sz val="10"/>
      <color indexed="10"/>
      <name val="Arial"/>
      <family val="2"/>
    </font>
    <font>
      <b/>
      <i/>
      <sz val="14"/>
      <name val="Arial"/>
      <family val="2"/>
    </font>
    <font>
      <sz val="12"/>
      <name val="Times New Roman"/>
      <family val="1"/>
    </font>
    <font>
      <vertAlign val="superscript"/>
      <sz val="10"/>
      <name val="Arial"/>
      <family val="2"/>
    </font>
    <font>
      <sz val="10"/>
      <color indexed="62"/>
      <name val="Arial"/>
      <family val="2"/>
    </font>
    <font>
      <sz val="12"/>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62"/>
      <name val="Arial"/>
      <family val="0"/>
    </font>
    <font>
      <b/>
      <sz val="14"/>
      <color indexed="62"/>
      <name val="Arial"/>
      <family val="0"/>
    </font>
    <font>
      <b/>
      <sz val="14"/>
      <color indexed="62"/>
      <name val="Symbol"/>
      <family val="0"/>
    </font>
    <font>
      <sz val="14"/>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0" fillId="33" borderId="10" xfId="0" applyFill="1" applyBorder="1" applyAlignment="1" applyProtection="1">
      <alignment horizontal="center"/>
      <protection locked="0"/>
    </xf>
    <xf numFmtId="0" fontId="0" fillId="0" borderId="0" xfId="0" applyAlignment="1" applyProtection="1">
      <alignment/>
      <protection hidden="1"/>
    </xf>
    <xf numFmtId="0" fontId="2" fillId="0" borderId="0" xfId="0" applyFont="1" applyAlignment="1" applyProtection="1">
      <alignment/>
      <protection hidden="1"/>
    </xf>
    <xf numFmtId="0" fontId="3" fillId="0" borderId="0" xfId="0" applyFont="1" applyAlignment="1">
      <alignment/>
    </xf>
    <xf numFmtId="0" fontId="0" fillId="0" borderId="0" xfId="0" applyAlignment="1" applyProtection="1">
      <alignment/>
      <protection/>
    </xf>
    <xf numFmtId="0" fontId="0" fillId="0" borderId="0" xfId="0" applyFill="1" applyBorder="1" applyAlignment="1" applyProtection="1">
      <alignment horizontal="center"/>
      <protection/>
    </xf>
    <xf numFmtId="0" fontId="2" fillId="0" borderId="0" xfId="0" applyFont="1" applyFill="1" applyBorder="1" applyAlignment="1" applyProtection="1">
      <alignment horizontal="center"/>
      <protection hidden="1"/>
    </xf>
    <xf numFmtId="0" fontId="0" fillId="33" borderId="10" xfId="0" applyFill="1" applyBorder="1" applyAlignment="1" applyProtection="1">
      <alignment/>
      <protection locked="0"/>
    </xf>
    <xf numFmtId="14" fontId="0" fillId="33" borderId="10" xfId="0" applyNumberFormat="1" applyFill="1" applyBorder="1" applyAlignment="1" applyProtection="1">
      <alignment horizontal="center"/>
      <protection locked="0"/>
    </xf>
    <xf numFmtId="20" fontId="0" fillId="33" borderId="10" xfId="0" applyNumberFormat="1" applyFill="1" applyBorder="1" applyAlignment="1" applyProtection="1">
      <alignment horizontal="center"/>
      <protection locked="0"/>
    </xf>
    <xf numFmtId="164" fontId="0" fillId="0" borderId="0" xfId="0" applyNumberFormat="1" applyAlignment="1" applyProtection="1">
      <alignment horizontal="left"/>
      <protection hidden="1"/>
    </xf>
    <xf numFmtId="174" fontId="0" fillId="0" borderId="0" xfId="0" applyNumberFormat="1" applyAlignment="1" applyProtection="1">
      <alignment horizontal="left"/>
      <protection hidden="1"/>
    </xf>
    <xf numFmtId="174" fontId="0" fillId="33" borderId="10" xfId="0" applyNumberFormat="1" applyFill="1" applyBorder="1" applyAlignment="1" applyProtection="1">
      <alignment/>
      <protection locked="0"/>
    </xf>
    <xf numFmtId="1" fontId="0" fillId="0" borderId="0" xfId="0" applyNumberFormat="1" applyFill="1" applyBorder="1" applyAlignment="1" applyProtection="1">
      <alignment/>
      <protection hidden="1"/>
    </xf>
    <xf numFmtId="1" fontId="0" fillId="0" borderId="0" xfId="0" applyNumberFormat="1" applyAlignment="1" applyProtection="1">
      <alignment/>
      <protection hidden="1"/>
    </xf>
    <xf numFmtId="174" fontId="0" fillId="0" borderId="0" xfId="0" applyNumberFormat="1" applyAlignment="1" applyProtection="1">
      <alignment horizontal="right"/>
      <protection hidden="1"/>
    </xf>
    <xf numFmtId="0" fontId="6" fillId="0" borderId="0" xfId="0" applyFont="1" applyAlignment="1" applyProtection="1">
      <alignment/>
      <protection hidden="1"/>
    </xf>
    <xf numFmtId="174" fontId="2" fillId="0" borderId="0" xfId="0" applyNumberFormat="1" applyFont="1" applyAlignment="1" applyProtection="1">
      <alignment/>
      <protection hidden="1"/>
    </xf>
    <xf numFmtId="174" fontId="0" fillId="33" borderId="10" xfId="0" applyNumberFormat="1" applyFill="1" applyBorder="1" applyAlignment="1" applyProtection="1">
      <alignment horizontal="left"/>
      <protection locked="0"/>
    </xf>
    <xf numFmtId="1" fontId="2" fillId="0" borderId="0" xfId="0" applyNumberFormat="1" applyFont="1" applyAlignment="1" applyProtection="1">
      <alignment/>
      <protection hidden="1"/>
    </xf>
    <xf numFmtId="164" fontId="2" fillId="0" borderId="0" xfId="0" applyNumberFormat="1" applyFont="1" applyAlignment="1" applyProtection="1">
      <alignment horizontal="left"/>
      <protection hidden="1"/>
    </xf>
    <xf numFmtId="165" fontId="2" fillId="0" borderId="0" xfId="0" applyNumberFormat="1" applyFont="1" applyAlignment="1" applyProtection="1">
      <alignment/>
      <protection hidden="1"/>
    </xf>
    <xf numFmtId="0" fontId="7" fillId="0" borderId="0" xfId="0" applyFont="1" applyAlignment="1" applyProtection="1">
      <alignment wrapText="1"/>
      <protection hidden="1"/>
    </xf>
    <xf numFmtId="0" fontId="2" fillId="0" borderId="0" xfId="0" applyFont="1" applyAlignment="1" applyProtection="1">
      <alignment horizontal="right"/>
      <protection hidden="1"/>
    </xf>
    <xf numFmtId="0" fontId="2" fillId="0" borderId="0" xfId="0" applyFont="1" applyAlignment="1" applyProtection="1">
      <alignment horizontal="left"/>
      <protection hidden="1"/>
    </xf>
    <xf numFmtId="0" fontId="2" fillId="0" borderId="0" xfId="0" applyFont="1" applyFill="1" applyAlignment="1" applyProtection="1">
      <alignment/>
      <protection hidden="1"/>
    </xf>
    <xf numFmtId="165" fontId="0" fillId="0" borderId="0" xfId="0" applyNumberFormat="1" applyAlignment="1">
      <alignment/>
    </xf>
    <xf numFmtId="174" fontId="0" fillId="0" borderId="0" xfId="0" applyNumberFormat="1" applyAlignment="1" applyProtection="1">
      <alignment horizontal="center"/>
      <protection hidden="1"/>
    </xf>
    <xf numFmtId="165" fontId="7" fillId="0" borderId="0" xfId="0" applyNumberFormat="1" applyFont="1" applyAlignment="1" applyProtection="1">
      <alignment/>
      <protection hidden="1"/>
    </xf>
    <xf numFmtId="165" fontId="0" fillId="0" borderId="0" xfId="0" applyNumberFormat="1" applyAlignment="1" applyProtection="1">
      <alignment/>
      <protection hidden="1"/>
    </xf>
    <xf numFmtId="174" fontId="0" fillId="0" borderId="0" xfId="0" applyNumberFormat="1" applyAlignment="1" applyProtection="1">
      <alignment/>
      <protection hidden="1"/>
    </xf>
    <xf numFmtId="164" fontId="2" fillId="0" borderId="0" xfId="0" applyNumberFormat="1" applyFont="1" applyAlignment="1" applyProtection="1">
      <alignment/>
      <protection hidden="1"/>
    </xf>
    <xf numFmtId="166" fontId="2" fillId="0" borderId="0" xfId="0" applyNumberFormat="1" applyFont="1" applyAlignment="1" applyProtection="1">
      <alignment/>
      <protection hidden="1"/>
    </xf>
    <xf numFmtId="0" fontId="7" fillId="0" borderId="0" xfId="0" applyFont="1" applyAlignment="1" applyProtection="1">
      <alignment/>
      <protection hidden="1"/>
    </xf>
    <xf numFmtId="0" fontId="7" fillId="0" borderId="0" xfId="0" applyFont="1" applyAlignment="1">
      <alignment/>
    </xf>
    <xf numFmtId="0" fontId="2" fillId="0" borderId="0" xfId="0" applyFont="1" applyAlignment="1">
      <alignment/>
    </xf>
    <xf numFmtId="0" fontId="0" fillId="0" borderId="0" xfId="0" applyFill="1" applyBorder="1" applyAlignment="1" applyProtection="1">
      <alignment horizontal="center"/>
      <protection hidden="1"/>
    </xf>
    <xf numFmtId="164" fontId="2" fillId="0" borderId="0" xfId="0" applyNumberFormat="1" applyFont="1" applyFill="1" applyAlignment="1" applyProtection="1">
      <alignment/>
      <protection hidden="1"/>
    </xf>
    <xf numFmtId="0" fontId="0" fillId="0" borderId="0" xfId="0" applyFill="1" applyBorder="1" applyAlignment="1" applyProtection="1">
      <alignment/>
      <protection/>
    </xf>
    <xf numFmtId="0" fontId="0" fillId="0" borderId="0" xfId="0" applyFill="1" applyBorder="1" applyAlignment="1" applyProtection="1">
      <alignment horizontal="left"/>
      <protection/>
    </xf>
    <xf numFmtId="0" fontId="8" fillId="0" borderId="0" xfId="0" applyFont="1" applyAlignment="1">
      <alignment/>
    </xf>
    <xf numFmtId="0" fontId="0" fillId="0" borderId="11" xfId="0" applyBorder="1" applyAlignment="1">
      <alignment wrapText="1"/>
    </xf>
    <xf numFmtId="0" fontId="9" fillId="0" borderId="0" xfId="0" applyFont="1" applyAlignment="1">
      <alignment wrapText="1"/>
    </xf>
    <xf numFmtId="0" fontId="0" fillId="0" borderId="0" xfId="0" applyAlignment="1">
      <alignment wrapText="1"/>
    </xf>
    <xf numFmtId="0" fontId="0" fillId="0" borderId="0" xfId="0" applyBorder="1" applyAlignment="1">
      <alignment wrapText="1"/>
    </xf>
    <xf numFmtId="0" fontId="3" fillId="0" borderId="0" xfId="0" applyFont="1" applyAlignment="1">
      <alignment wrapText="1"/>
    </xf>
    <xf numFmtId="0" fontId="11" fillId="0" borderId="0" xfId="0" applyFont="1" applyAlignment="1">
      <alignment/>
    </xf>
    <xf numFmtId="0" fontId="12" fillId="0" borderId="0" xfId="0" applyFont="1" applyAlignment="1">
      <alignment/>
    </xf>
    <xf numFmtId="0" fontId="0" fillId="0" borderId="0" xfId="0" applyAlignment="1">
      <alignment horizontal="right" vertical="top"/>
    </xf>
    <xf numFmtId="0" fontId="2" fillId="0" borderId="0" xfId="0" applyFont="1" applyAlignment="1" applyProtection="1">
      <alignmen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 Id="rId3" Type="http://schemas.openxmlformats.org/officeDocument/2006/relationships/image" Target="../media/image2.jpeg"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19050</xdr:rowOff>
    </xdr:from>
    <xdr:to>
      <xdr:col>0</xdr:col>
      <xdr:colOff>4676775</xdr:colOff>
      <xdr:row>87</xdr:row>
      <xdr:rowOff>28575</xdr:rowOff>
    </xdr:to>
    <xdr:grpSp>
      <xdr:nvGrpSpPr>
        <xdr:cNvPr id="1" name="Group 1"/>
        <xdr:cNvGrpSpPr>
          <a:grpSpLocks/>
        </xdr:cNvGrpSpPr>
      </xdr:nvGrpSpPr>
      <xdr:grpSpPr>
        <a:xfrm>
          <a:off x="0" y="13020675"/>
          <a:ext cx="4676775" cy="3733800"/>
          <a:chOff x="6" y="1140"/>
          <a:chExt cx="491" cy="392"/>
        </a:xfrm>
        <a:solidFill>
          <a:srgbClr val="FFFFFF"/>
        </a:solidFill>
      </xdr:grpSpPr>
      <xdr:pic>
        <xdr:nvPicPr>
          <xdr:cNvPr id="2" name="Picture 2" descr="O:\verk\smavirkjanir\mynd3c.JPG"/>
          <xdr:cNvPicPr preferRelativeResize="1">
            <a:picLocks noChangeAspect="1"/>
          </xdr:cNvPicPr>
        </xdr:nvPicPr>
        <xdr:blipFill>
          <a:blip r:embed="rId1"/>
          <a:stretch>
            <a:fillRect/>
          </a:stretch>
        </xdr:blipFill>
        <xdr:spPr>
          <a:xfrm>
            <a:off x="6" y="1140"/>
            <a:ext cx="491" cy="392"/>
          </a:xfrm>
          <a:prstGeom prst="rect">
            <a:avLst/>
          </a:prstGeom>
          <a:noFill/>
          <a:ln w="9525" cmpd="sng">
            <a:noFill/>
          </a:ln>
        </xdr:spPr>
      </xdr:pic>
      <xdr:sp>
        <xdr:nvSpPr>
          <xdr:cNvPr id="3" name="Line 3"/>
          <xdr:cNvSpPr>
            <a:spLocks/>
          </xdr:cNvSpPr>
        </xdr:nvSpPr>
        <xdr:spPr>
          <a:xfrm flipV="1">
            <a:off x="194" y="1301"/>
            <a:ext cx="62" cy="36"/>
          </a:xfrm>
          <a:prstGeom prst="line">
            <a:avLst/>
          </a:prstGeom>
          <a:noFill/>
          <a:ln w="28575" cmpd="sng">
            <a:solidFill>
              <a:srgbClr val="3333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 Box 4"/>
          <xdr:cNvSpPr txBox="1">
            <a:spLocks noChangeArrowheads="1"/>
          </xdr:cNvSpPr>
        </xdr:nvSpPr>
        <xdr:spPr>
          <a:xfrm>
            <a:off x="209" y="1297"/>
            <a:ext cx="15" cy="25"/>
          </a:xfrm>
          <a:prstGeom prst="rect">
            <a:avLst/>
          </a:prstGeom>
          <a:noFill/>
          <a:ln w="9525" cmpd="sng">
            <a:noFill/>
          </a:ln>
        </xdr:spPr>
        <xdr:txBody>
          <a:bodyPr vertOverflow="clip" wrap="square" lIns="36576" tIns="32004" rIns="0" bIns="0">
            <a:spAutoFit/>
          </a:bodyPr>
          <a:p>
            <a:pPr algn="l">
              <a:defRPr/>
            </a:pPr>
            <a:r>
              <a:rPr lang="en-US" cap="none" sz="1400" b="1" i="0" u="none" baseline="0">
                <a:solidFill>
                  <a:srgbClr val="333399"/>
                </a:solidFill>
                <a:latin typeface="Arial"/>
                <a:ea typeface="Arial"/>
                <a:cs typeface="Arial"/>
              </a:rPr>
              <a:t>b</a:t>
            </a:r>
          </a:p>
        </xdr:txBody>
      </xdr:sp>
      <xdr:sp>
        <xdr:nvSpPr>
          <xdr:cNvPr id="5" name="Line 5"/>
          <xdr:cNvSpPr>
            <a:spLocks/>
          </xdr:cNvSpPr>
        </xdr:nvSpPr>
        <xdr:spPr>
          <a:xfrm flipV="1">
            <a:off x="57" y="1241"/>
            <a:ext cx="225" cy="128"/>
          </a:xfrm>
          <a:prstGeom prst="line">
            <a:avLst/>
          </a:prstGeom>
          <a:noFill/>
          <a:ln w="28575" cmpd="sng">
            <a:solidFill>
              <a:srgbClr val="3333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144" y="1287"/>
            <a:ext cx="21" cy="25"/>
          </a:xfrm>
          <a:prstGeom prst="rect">
            <a:avLst/>
          </a:prstGeom>
          <a:noFill/>
          <a:ln w="9525" cmpd="sng">
            <a:noFill/>
          </a:ln>
        </xdr:spPr>
        <xdr:txBody>
          <a:bodyPr vertOverflow="clip" wrap="square" lIns="36576" tIns="32004" rIns="0" bIns="0">
            <a:spAutoFit/>
          </a:bodyPr>
          <a:p>
            <a:pPr algn="l">
              <a:defRPr/>
            </a:pPr>
            <a:r>
              <a:rPr lang="en-US" cap="none" sz="1400" b="0" i="0" u="none" baseline="0">
                <a:solidFill>
                  <a:srgbClr val="333399"/>
                </a:solidFill>
                <a:latin typeface="Arial"/>
                <a:ea typeface="Arial"/>
                <a:cs typeface="Arial"/>
              </a:rPr>
              <a:t>B</a:t>
            </a:r>
          </a:p>
        </xdr:txBody>
      </xdr:sp>
    </xdr:grpSp>
    <xdr:clientData/>
  </xdr:twoCellAnchor>
  <xdr:twoCellAnchor>
    <xdr:from>
      <xdr:col>0</xdr:col>
      <xdr:colOff>76200</xdr:colOff>
      <xdr:row>41</xdr:row>
      <xdr:rowOff>57150</xdr:rowOff>
    </xdr:from>
    <xdr:to>
      <xdr:col>0</xdr:col>
      <xdr:colOff>4819650</xdr:colOff>
      <xdr:row>61</xdr:row>
      <xdr:rowOff>19050</xdr:rowOff>
    </xdr:to>
    <xdr:grpSp>
      <xdr:nvGrpSpPr>
        <xdr:cNvPr id="7" name="Group 7"/>
        <xdr:cNvGrpSpPr>
          <a:grpSpLocks/>
        </xdr:cNvGrpSpPr>
      </xdr:nvGrpSpPr>
      <xdr:grpSpPr>
        <a:xfrm>
          <a:off x="76200" y="9296400"/>
          <a:ext cx="4743450" cy="3238500"/>
          <a:chOff x="17" y="747"/>
          <a:chExt cx="498" cy="340"/>
        </a:xfrm>
        <a:solidFill>
          <a:srgbClr val="FFFFFF"/>
        </a:solidFill>
      </xdr:grpSpPr>
      <xdr:pic>
        <xdr:nvPicPr>
          <xdr:cNvPr id="8" name="Picture 8" descr="mynd2b.jpg"/>
          <xdr:cNvPicPr preferRelativeResize="1">
            <a:picLocks noChangeAspect="1"/>
          </xdr:cNvPicPr>
        </xdr:nvPicPr>
        <xdr:blipFill>
          <a:blip r:embed="rId2"/>
          <a:srcRect l="12870" t="48707"/>
          <a:stretch>
            <a:fillRect/>
          </a:stretch>
        </xdr:blipFill>
        <xdr:spPr>
          <a:xfrm>
            <a:off x="17" y="747"/>
            <a:ext cx="498" cy="340"/>
          </a:xfrm>
          <a:prstGeom prst="rect">
            <a:avLst/>
          </a:prstGeom>
          <a:noFill/>
          <a:ln w="9525" cmpd="sng">
            <a:noFill/>
          </a:ln>
        </xdr:spPr>
      </xdr:pic>
      <xdr:grpSp>
        <xdr:nvGrpSpPr>
          <xdr:cNvPr id="9" name="Group 9"/>
          <xdr:cNvGrpSpPr>
            <a:grpSpLocks/>
          </xdr:cNvGrpSpPr>
        </xdr:nvGrpSpPr>
        <xdr:grpSpPr>
          <a:xfrm>
            <a:off x="83" y="817"/>
            <a:ext cx="327" cy="113"/>
            <a:chOff x="83" y="817"/>
            <a:chExt cx="327" cy="113"/>
          </a:xfrm>
          <a:solidFill>
            <a:srgbClr val="FFFFFF"/>
          </a:solidFill>
        </xdr:grpSpPr>
        <xdr:sp>
          <xdr:nvSpPr>
            <xdr:cNvPr id="10" name="Line 10"/>
            <xdr:cNvSpPr>
              <a:spLocks/>
            </xdr:cNvSpPr>
          </xdr:nvSpPr>
          <xdr:spPr>
            <a:xfrm flipV="1">
              <a:off x="83" y="825"/>
              <a:ext cx="327" cy="34"/>
            </a:xfrm>
            <a:prstGeom prst="line">
              <a:avLst/>
            </a:prstGeom>
            <a:noFill/>
            <a:ln w="28575" cmpd="sng">
              <a:solidFill>
                <a:srgbClr val="3333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Text Box 11"/>
            <xdr:cNvSpPr txBox="1">
              <a:spLocks noChangeArrowheads="1"/>
            </xdr:cNvSpPr>
          </xdr:nvSpPr>
          <xdr:spPr>
            <a:xfrm>
              <a:off x="240" y="817"/>
              <a:ext cx="17" cy="26"/>
            </a:xfrm>
            <a:prstGeom prst="rect">
              <a:avLst/>
            </a:prstGeom>
            <a:noFill/>
            <a:ln w="9525" cmpd="sng">
              <a:noFill/>
            </a:ln>
          </xdr:spPr>
          <xdr:txBody>
            <a:bodyPr vertOverflow="clip" wrap="square" lIns="36576" tIns="32004" rIns="0" bIns="0">
              <a:spAutoFit/>
            </a:bodyPr>
            <a:p>
              <a:pPr algn="l">
                <a:defRPr/>
              </a:pPr>
              <a:r>
                <a:rPr lang="en-US" cap="none" sz="1400" b="1" i="0" u="none" baseline="0">
                  <a:solidFill>
                    <a:srgbClr val="333399"/>
                  </a:solidFill>
                  <a:latin typeface="Arial"/>
                  <a:ea typeface="Arial"/>
                  <a:cs typeface="Arial"/>
                </a:rPr>
                <a:t>B</a:t>
              </a:r>
            </a:p>
          </xdr:txBody>
        </xdr:sp>
        <xdr:sp>
          <xdr:nvSpPr>
            <xdr:cNvPr id="12" name="Line 12"/>
            <xdr:cNvSpPr>
              <a:spLocks/>
            </xdr:cNvSpPr>
          </xdr:nvSpPr>
          <xdr:spPr>
            <a:xfrm>
              <a:off x="186" y="870"/>
              <a:ext cx="62" cy="59"/>
            </a:xfrm>
            <a:prstGeom prst="line">
              <a:avLst/>
            </a:prstGeom>
            <a:noFill/>
            <a:ln w="28575" cmpd="sng">
              <a:solidFill>
                <a:srgbClr val="3333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flipH="1">
              <a:off x="249" y="864"/>
              <a:ext cx="43" cy="66"/>
            </a:xfrm>
            <a:prstGeom prst="line">
              <a:avLst/>
            </a:prstGeom>
            <a:noFill/>
            <a:ln w="28575" cmpd="sng">
              <a:solidFill>
                <a:srgbClr val="3333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Text Box 15"/>
            <xdr:cNvSpPr txBox="1">
              <a:spLocks noChangeArrowheads="1"/>
            </xdr:cNvSpPr>
          </xdr:nvSpPr>
          <xdr:spPr>
            <a:xfrm>
              <a:off x="240" y="877"/>
              <a:ext cx="14" cy="26"/>
            </a:xfrm>
            <a:prstGeom prst="rect">
              <a:avLst/>
            </a:prstGeom>
            <a:noFill/>
            <a:ln w="9525" cmpd="sng">
              <a:noFill/>
            </a:ln>
          </xdr:spPr>
          <xdr:txBody>
            <a:bodyPr vertOverflow="clip" wrap="square" lIns="36576" tIns="32004" rIns="0" bIns="0">
              <a:spAutoFit/>
            </a:bodyPr>
            <a:p>
              <a:pPr algn="l">
                <a:defRPr/>
              </a:pPr>
              <a:r>
                <a:rPr lang="en-US" cap="none" sz="1400" b="1" i="0" u="none" baseline="0">
                  <a:solidFill>
                    <a:srgbClr val="333399"/>
                  </a:solidFill>
                </a:rPr>
                <a:t>q</a:t>
              </a:r>
            </a:p>
          </xdr:txBody>
        </xdr:sp>
        <xdr:sp>
          <xdr:nvSpPr>
            <xdr:cNvPr id="16" name="Text Box 16"/>
            <xdr:cNvSpPr txBox="1">
              <a:spLocks noChangeArrowheads="1"/>
            </xdr:cNvSpPr>
          </xdr:nvSpPr>
          <xdr:spPr>
            <a:xfrm>
              <a:off x="204" y="870"/>
              <a:ext cx="14" cy="25"/>
            </a:xfrm>
            <a:prstGeom prst="rect">
              <a:avLst/>
            </a:prstGeom>
            <a:noFill/>
            <a:ln w="9525" cmpd="sng">
              <a:noFill/>
            </a:ln>
          </xdr:spPr>
          <xdr:txBody>
            <a:bodyPr vertOverflow="clip" wrap="square" lIns="36576" tIns="32004" rIns="0" bIns="0">
              <a:spAutoFit/>
            </a:bodyPr>
            <a:p>
              <a:pPr algn="l">
                <a:defRPr/>
              </a:pPr>
              <a:r>
                <a:rPr lang="en-US" cap="none" sz="1400" b="1" i="0" u="none" baseline="0">
                  <a:solidFill>
                    <a:srgbClr val="333399"/>
                  </a:solidFill>
                  <a:latin typeface="Arial"/>
                  <a:ea typeface="Arial"/>
                  <a:cs typeface="Arial"/>
                </a:rPr>
                <a:t>c</a:t>
              </a:r>
            </a:p>
          </xdr:txBody>
        </xdr:sp>
        <xdr:sp>
          <xdr:nvSpPr>
            <xdr:cNvPr id="17" name="Line 17"/>
            <xdr:cNvSpPr>
              <a:spLocks/>
            </xdr:cNvSpPr>
          </xdr:nvSpPr>
          <xdr:spPr>
            <a:xfrm flipV="1">
              <a:off x="190" y="860"/>
              <a:ext cx="102" cy="10"/>
            </a:xfrm>
            <a:prstGeom prst="line">
              <a:avLst/>
            </a:prstGeom>
            <a:noFill/>
            <a:ln w="28575" cmpd="sng">
              <a:solidFill>
                <a:srgbClr val="3333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Text Box 18"/>
            <xdr:cNvSpPr txBox="1">
              <a:spLocks noChangeArrowheads="1"/>
            </xdr:cNvSpPr>
          </xdr:nvSpPr>
          <xdr:spPr>
            <a:xfrm>
              <a:off x="228" y="843"/>
              <a:ext cx="15" cy="26"/>
            </a:xfrm>
            <a:prstGeom prst="rect">
              <a:avLst/>
            </a:prstGeom>
            <a:noFill/>
            <a:ln w="9525" cmpd="sng">
              <a:noFill/>
            </a:ln>
          </xdr:spPr>
          <xdr:txBody>
            <a:bodyPr vertOverflow="clip" wrap="square" lIns="36576" tIns="32004" rIns="0" bIns="0">
              <a:spAutoFit/>
            </a:bodyPr>
            <a:p>
              <a:pPr algn="l">
                <a:defRPr/>
              </a:pPr>
              <a:r>
                <a:rPr lang="en-US" cap="none" sz="1400" b="1" i="0" u="none" baseline="0">
                  <a:solidFill>
                    <a:srgbClr val="333399"/>
                  </a:solidFill>
                  <a:latin typeface="Arial"/>
                  <a:ea typeface="Arial"/>
                  <a:cs typeface="Arial"/>
                </a:rPr>
                <a:t>b</a:t>
              </a:r>
            </a:p>
          </xdr:txBody>
        </xdr:sp>
      </xdr:grpSp>
    </xdr:grpSp>
    <xdr:clientData/>
  </xdr:twoCellAnchor>
  <xdr:twoCellAnchor>
    <xdr:from>
      <xdr:col>0</xdr:col>
      <xdr:colOff>57150</xdr:colOff>
      <xdr:row>18</xdr:row>
      <xdr:rowOff>47625</xdr:rowOff>
    </xdr:from>
    <xdr:to>
      <xdr:col>0</xdr:col>
      <xdr:colOff>5648325</xdr:colOff>
      <xdr:row>39</xdr:row>
      <xdr:rowOff>66675</xdr:rowOff>
    </xdr:to>
    <xdr:grpSp>
      <xdr:nvGrpSpPr>
        <xdr:cNvPr id="19" name="Group 19"/>
        <xdr:cNvGrpSpPr>
          <a:grpSpLocks/>
        </xdr:cNvGrpSpPr>
      </xdr:nvGrpSpPr>
      <xdr:grpSpPr>
        <a:xfrm>
          <a:off x="57150" y="5524500"/>
          <a:ext cx="5591175" cy="3457575"/>
          <a:chOff x="5" y="353"/>
          <a:chExt cx="588" cy="359"/>
        </a:xfrm>
        <a:solidFill>
          <a:srgbClr val="FFFFFF"/>
        </a:solidFill>
      </xdr:grpSpPr>
      <xdr:pic>
        <xdr:nvPicPr>
          <xdr:cNvPr id="20" name="Picture 20" descr="mynd4b.JPG"/>
          <xdr:cNvPicPr preferRelativeResize="1">
            <a:picLocks noChangeAspect="1"/>
          </xdr:cNvPicPr>
        </xdr:nvPicPr>
        <xdr:blipFill>
          <a:blip r:embed="rId3"/>
          <a:stretch>
            <a:fillRect/>
          </a:stretch>
        </xdr:blipFill>
        <xdr:spPr>
          <a:xfrm>
            <a:off x="5" y="353"/>
            <a:ext cx="588" cy="359"/>
          </a:xfrm>
          <a:prstGeom prst="rect">
            <a:avLst/>
          </a:prstGeom>
          <a:noFill/>
          <a:ln w="9525" cmpd="sng">
            <a:noFill/>
          </a:ln>
        </xdr:spPr>
      </xdr:pic>
      <xdr:sp>
        <xdr:nvSpPr>
          <xdr:cNvPr id="21" name="Line 21"/>
          <xdr:cNvSpPr>
            <a:spLocks/>
          </xdr:cNvSpPr>
        </xdr:nvSpPr>
        <xdr:spPr>
          <a:xfrm>
            <a:off x="474" y="495"/>
            <a:ext cx="0" cy="92"/>
          </a:xfrm>
          <a:prstGeom prst="line">
            <a:avLst/>
          </a:prstGeom>
          <a:noFill/>
          <a:ln w="28575" cmpd="sng">
            <a:solidFill>
              <a:srgbClr val="3333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Text Box 22"/>
          <xdr:cNvSpPr txBox="1">
            <a:spLocks noChangeArrowheads="1"/>
          </xdr:cNvSpPr>
        </xdr:nvSpPr>
        <xdr:spPr>
          <a:xfrm>
            <a:off x="477" y="548"/>
            <a:ext cx="9" cy="23"/>
          </a:xfrm>
          <a:prstGeom prst="rect">
            <a:avLst/>
          </a:prstGeom>
          <a:noFill/>
          <a:ln w="9525" cmpd="sng">
            <a:noFill/>
          </a:ln>
        </xdr:spPr>
        <xdr:txBody>
          <a:bodyPr vertOverflow="clip" wrap="square" lIns="27432" tIns="32004" rIns="0" bIns="0">
            <a:spAutoFit/>
          </a:bodyPr>
          <a:p>
            <a:pPr algn="l">
              <a:defRPr/>
            </a:pPr>
            <a:r>
              <a:rPr lang="en-US" cap="none" sz="1200" b="1" i="0" u="none" baseline="0">
                <a:solidFill>
                  <a:srgbClr val="333399"/>
                </a:solidFill>
                <a:latin typeface="Arial"/>
                <a:ea typeface="Arial"/>
                <a:cs typeface="Arial"/>
              </a:rPr>
              <a:t>r</a:t>
            </a:r>
          </a:p>
        </xdr:txBody>
      </xdr:sp>
    </xdr:grpSp>
    <xdr:clientData/>
  </xdr:twoCellAnchor>
  <xdr:twoCellAnchor editAs="oneCell">
    <xdr:from>
      <xdr:col>0</xdr:col>
      <xdr:colOff>76200</xdr:colOff>
      <xdr:row>0</xdr:row>
      <xdr:rowOff>47625</xdr:rowOff>
    </xdr:from>
    <xdr:to>
      <xdr:col>0</xdr:col>
      <xdr:colOff>2266950</xdr:colOff>
      <xdr:row>3</xdr:row>
      <xdr:rowOff>38100</xdr:rowOff>
    </xdr:to>
    <xdr:pic>
      <xdr:nvPicPr>
        <xdr:cNvPr id="23" name="Picture 23" descr="M:\thj\verk\vm_merki\VM-Merki_nytt.jpg"/>
        <xdr:cNvPicPr preferRelativeResize="1">
          <a:picLocks noChangeAspect="1"/>
        </xdr:cNvPicPr>
      </xdr:nvPicPr>
      <xdr:blipFill>
        <a:blip r:embed="rId4"/>
        <a:stretch>
          <a:fillRect/>
        </a:stretch>
      </xdr:blipFill>
      <xdr:spPr>
        <a:xfrm>
          <a:off x="76200" y="47625"/>
          <a:ext cx="21907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D76"/>
  <sheetViews>
    <sheetView tabSelected="1" zoomScalePageLayoutView="0" workbookViewId="0" topLeftCell="A1">
      <selection activeCell="A1" sqref="A1"/>
    </sheetView>
  </sheetViews>
  <sheetFormatPr defaultColWidth="9.140625" defaultRowHeight="12.75"/>
  <cols>
    <col min="1" max="1" width="93.140625" style="0" customWidth="1"/>
  </cols>
  <sheetData>
    <row r="3" ht="12.75">
      <c r="A3" s="50" t="s">
        <v>87</v>
      </c>
    </row>
    <row r="5" ht="17.25">
      <c r="A5" s="42" t="s">
        <v>88</v>
      </c>
    </row>
    <row r="6" ht="18" thickBot="1">
      <c r="A6" s="42"/>
    </row>
    <row r="7" ht="43.5" customHeight="1" thickBot="1">
      <c r="A7" s="43" t="s">
        <v>82</v>
      </c>
    </row>
    <row r="8" ht="13.5" thickBot="1"/>
    <row r="9" ht="60" customHeight="1" thickBot="1">
      <c r="A9" s="43" t="s">
        <v>83</v>
      </c>
    </row>
    <row r="10" ht="15.75" thickBot="1">
      <c r="A10" s="44"/>
    </row>
    <row r="11" ht="43.5" customHeight="1" thickBot="1">
      <c r="A11" s="43" t="s">
        <v>84</v>
      </c>
    </row>
    <row r="12" ht="13.5" thickBot="1">
      <c r="A12" s="45"/>
    </row>
    <row r="13" ht="69.75" customHeight="1" thickBot="1">
      <c r="A13" s="43" t="s">
        <v>85</v>
      </c>
    </row>
    <row r="14" ht="13.5" thickBot="1">
      <c r="A14" s="46"/>
    </row>
    <row r="15" ht="30" customHeight="1" thickBot="1">
      <c r="A15" s="43" t="s">
        <v>73</v>
      </c>
    </row>
    <row r="16" ht="12.75">
      <c r="A16" s="46"/>
    </row>
    <row r="17" spans="1:3" ht="16.5" customHeight="1">
      <c r="A17" s="45"/>
      <c r="B17" s="45"/>
      <c r="C17" s="45"/>
    </row>
    <row r="18" ht="12.75">
      <c r="A18" s="47" t="s">
        <v>74</v>
      </c>
    </row>
    <row r="21" ht="12.75">
      <c r="B21" t="s">
        <v>75</v>
      </c>
    </row>
    <row r="23" ht="12.75">
      <c r="B23" t="s">
        <v>76</v>
      </c>
    </row>
    <row r="24" ht="15.75">
      <c r="B24" t="s">
        <v>48</v>
      </c>
    </row>
    <row r="25" ht="12.75">
      <c r="B25" t="s">
        <v>20</v>
      </c>
    </row>
    <row r="26" ht="12.75">
      <c r="B26" t="s">
        <v>77</v>
      </c>
    </row>
    <row r="27" ht="12.75">
      <c r="C27" s="48"/>
    </row>
    <row r="41" spans="1:4" ht="12.75">
      <c r="A41" s="5" t="s">
        <v>78</v>
      </c>
      <c r="D41" s="5"/>
    </row>
    <row r="45" ht="12.75">
      <c r="B45" t="s">
        <v>79</v>
      </c>
    </row>
    <row r="47" ht="12.75">
      <c r="B47" t="s">
        <v>13</v>
      </c>
    </row>
    <row r="48" ht="12.75">
      <c r="B48" t="s">
        <v>16</v>
      </c>
    </row>
    <row r="49" ht="12.75">
      <c r="B49" t="s">
        <v>18</v>
      </c>
    </row>
    <row r="50" ht="12.75">
      <c r="B50" t="s">
        <v>44</v>
      </c>
    </row>
    <row r="55" ht="15.75">
      <c r="A55" s="49"/>
    </row>
    <row r="64" ht="12.75">
      <c r="A64" s="5" t="s">
        <v>80</v>
      </c>
    </row>
    <row r="68" ht="12.75">
      <c r="B68" t="s">
        <v>81</v>
      </c>
    </row>
    <row r="70" ht="12.75">
      <c r="B70" t="s">
        <v>13</v>
      </c>
    </row>
    <row r="71" ht="12.75">
      <c r="B71" t="s">
        <v>16</v>
      </c>
    </row>
    <row r="73" ht="12.75">
      <c r="B73" t="s">
        <v>86</v>
      </c>
    </row>
    <row r="76" ht="12.75">
      <c r="B76" s="48"/>
    </row>
  </sheetData>
  <sheetProtection password="F639"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100"/>
  <sheetViews>
    <sheetView zoomScalePageLayoutView="0" workbookViewId="0" topLeftCell="A1">
      <selection activeCell="F1" sqref="F1"/>
    </sheetView>
  </sheetViews>
  <sheetFormatPr defaultColWidth="9.140625" defaultRowHeight="12.75"/>
  <cols>
    <col min="1" max="1" width="50.140625" style="0" bestFit="1" customWidth="1"/>
    <col min="4" max="4" width="15.140625" style="9" customWidth="1"/>
    <col min="5" max="5" width="7.28125" style="9" customWidth="1"/>
    <col min="6" max="6" width="28.00390625" style="9" bestFit="1" customWidth="1"/>
    <col min="7" max="7" width="25.00390625" style="9" bestFit="1" customWidth="1"/>
    <col min="8" max="8" width="22.140625" style="9" customWidth="1"/>
    <col min="9" max="9" width="13.00390625" style="0" customWidth="1"/>
    <col min="10" max="10" width="46.140625" style="0" customWidth="1"/>
    <col min="11" max="11" width="17.28125" style="4" bestFit="1" customWidth="1"/>
  </cols>
  <sheetData>
    <row r="1" spans="1:10" ht="13.5">
      <c r="A1" s="1" t="s">
        <v>0</v>
      </c>
      <c r="D1" s="41" t="s">
        <v>1</v>
      </c>
      <c r="E1" s="7"/>
      <c r="F1" s="2"/>
      <c r="G1" s="7"/>
      <c r="H1" s="40"/>
      <c r="I1" s="3"/>
      <c r="J1" s="3"/>
    </row>
    <row r="2" spans="4:10" ht="12.75">
      <c r="D2" s="7"/>
      <c r="E2" s="7"/>
      <c r="F2" s="7"/>
      <c r="G2" s="7"/>
      <c r="H2" s="7"/>
      <c r="I2" s="3"/>
      <c r="J2" s="3"/>
    </row>
    <row r="3" spans="1:24" ht="12.75">
      <c r="A3" s="5" t="s">
        <v>2</v>
      </c>
      <c r="D3" s="7" t="s">
        <v>3</v>
      </c>
      <c r="E3" s="7" t="s">
        <v>4</v>
      </c>
      <c r="F3" s="7" t="s">
        <v>5</v>
      </c>
      <c r="G3" s="7" t="s">
        <v>6</v>
      </c>
      <c r="H3" s="7" t="s">
        <v>7</v>
      </c>
      <c r="I3" s="6" t="s">
        <v>8</v>
      </c>
      <c r="J3" s="7" t="s">
        <v>9</v>
      </c>
      <c r="K3" s="8" t="s">
        <v>10</v>
      </c>
      <c r="M3" s="4" t="s">
        <v>11</v>
      </c>
      <c r="N3" s="4"/>
      <c r="O3" s="4" t="s">
        <v>12</v>
      </c>
      <c r="P3" s="4"/>
      <c r="Q3" s="4"/>
      <c r="R3" s="4"/>
      <c r="S3" s="4"/>
      <c r="T3" s="4"/>
      <c r="U3" s="4"/>
      <c r="V3" s="4"/>
      <c r="W3" s="4"/>
      <c r="X3" s="4"/>
    </row>
    <row r="4" spans="1:24" ht="12.75">
      <c r="A4" t="s">
        <v>13</v>
      </c>
      <c r="B4" s="9">
        <v>2</v>
      </c>
      <c r="C4" s="6" t="s">
        <v>14</v>
      </c>
      <c r="D4" s="10">
        <v>37426</v>
      </c>
      <c r="E4" s="11">
        <v>0.9180555555555556</v>
      </c>
      <c r="F4" s="11" t="s">
        <v>15</v>
      </c>
      <c r="G4" s="11"/>
      <c r="H4" s="2">
        <v>5</v>
      </c>
      <c r="I4" s="12">
        <f>IF(AND(A$24="",A$25="",A$26="",A$27="",A$28=""),IF(K4="Fully contracted",($B$21*8/15*(2*9.81)^0.5*TAN($B$11*PI()/360)*(H4/100+$B$20/1000)^2.5)*1000,IF(K4="Partially contracted",((VLOOKUP(H4/$B$8,$M$31:$X$67,2+10*(1-$B$22),TRUE)+(VLOOKUP(H4/$B$8,$M$31:$X$67,2+10*(1.1-$B$22),TRUE)-VLOOKUP(H4/$B$8,$M$31:$X$67,2+10*(1-$B$22),TRUE))*($B$22-INT($B$22/0.1)*0.1)/0.1+(VLOOKUP(H4/$B$8+0.05,$M$31:$X$67,2+10*(1-$B$22),TRUE)-VLOOKUP(H4/$B$8,$M$31:$X$67,2+10*(1-$B$22),TRUE))*(H4/$B$8-INT((H4/$B$8)/0.05)*0.05)/0.05)*8/15*(2*9.81)^0.5*TAN($B$11*PI()/360)*(H4/100+$B$20/1000)^2.5)*1000,"")),"")</f>
        <v>0.794643235654198</v>
      </c>
      <c r="J4" s="13">
        <f aca="true" t="shared" si="0" ref="J4:J67">IF(H4&gt;0,IF(H4&lt;$B$12,"Ekki er hægt að reikna rennsli fyrir svo lága vatnshæð",IF(AND(H4&lt;$B$16+0.01,$B$8&gt;44.99,$B$4&gt;0.8999),"",IF(AND(H4&lt;$B$13+0.01,$B$8&gt;9.99,$B$4&gt;0.5999,($B$11-90)&lt;2,(90-$B$11)&lt;2,(VLOOKUP(H4/$B$8,$M$31:$X$67,2+10*(1-$B$22),TRUE)+(VLOOKUP(H4/$B$8,$M$31:$X$67,2+10*(1.1-$B$22),TRUE)-VLOOKUP(H4/$B$8,$M$31:$X$67,2+10*(1-$B$22),TRUE))*($B$22-INT($B$22/0.1)*0.1)/0.1+(VLOOKUP(H4/$B$8+0.05,$M$31:$X$67,2+10*(1-$B$22),TRUE)-VLOOKUP(H4/$B$8,$M$31:$X$67,2+10*(1-$B$22),TRUE))*(H4/$B$8-INT((H4/$B$8)/0.05)*0.05)/0.05)&gt;0),"","Ekki er hægt að reikna rennsli fyrir þessa vatnshæð"))),"")</f>
      </c>
      <c r="K4" s="4" t="str">
        <f aca="true" t="shared" si="1" ref="K4:K67">IF(H4&gt;0,IF(H4&lt;$B$12,"",IF(AND(H4&lt;$B$16+0.01,$B$8&gt;44.99,$B$4&gt;0.8999),"Fully contracted",IF(AND(H4&lt;$B$13+0.01,$B$8&gt;9.99,$B$4&gt;0.5999,($B$11-90)&lt;2,(90-$B$11)&lt;2,(VLOOKUP(H4/$B$8,$M$31:$X$67,2+10*(1-$B$22),TRUE)+(VLOOKUP(H4/$B$8,$M$31:$X$67,2+10*(1.1-$B$22),TRUE)-VLOOKUP(H4/$B$8,$M$31:$X$67,2+10*(1-$B$22),TRUE))*($B$22-INT($B$22/0.1)*0.1)/0.1+(VLOOKUP(H4/$B$8+0.05,$M$31:$X$67,2+10*(1-$B$22),TRUE)-VLOOKUP(H4/$B$8,$M$31:$X$67,2+10*(1-$B$22),TRUE))*(H4/$B$8-INT((H4/$B$8)/0.05)*0.05)/0.05)&gt;0),"Partially contracted",""))),"")</f>
        <v>Fully contracted</v>
      </c>
      <c r="M4" s="4">
        <v>20</v>
      </c>
      <c r="N4" s="4"/>
      <c r="O4" s="4">
        <v>2.86</v>
      </c>
      <c r="P4" s="4"/>
      <c r="Q4" s="4"/>
      <c r="R4" s="4"/>
      <c r="S4" s="4"/>
      <c r="T4" s="4"/>
      <c r="U4" s="4"/>
      <c r="V4" s="4"/>
      <c r="W4" s="4"/>
      <c r="X4" s="4"/>
    </row>
    <row r="5" spans="1:24" ht="12.75">
      <c r="A5" t="s">
        <v>16</v>
      </c>
      <c r="B5" s="9"/>
      <c r="C5" s="6" t="s">
        <v>14</v>
      </c>
      <c r="D5" s="10">
        <v>37426</v>
      </c>
      <c r="E5" s="11">
        <v>0.9618055555555555</v>
      </c>
      <c r="F5" s="11" t="s">
        <v>17</v>
      </c>
      <c r="G5" s="11"/>
      <c r="H5" s="2">
        <v>8</v>
      </c>
      <c r="I5" s="12">
        <f aca="true" t="shared" si="2" ref="I5:I68">IF(AND(A$24="",A$25="",A$26="",A$27="",A$28=""),IF(K5="Fully contracted",($B$21*8/15*(2*9.81)^0.5*TAN($B$11*PI()/360)*(H5/100+$B$20/1000)^2.5)*1000,IF(K5="Partially contracted",((VLOOKUP(H5/$B$8,$M$31:$X$67,2+10*(1-$B$22),TRUE)+(VLOOKUP(H5/$B$8,$M$31:$X$67,2+10*(1.1-$B$22),TRUE)-VLOOKUP(H5/$B$8,$M$31:$X$67,2+10*(1-$B$22),TRUE))*($B$22-INT($B$22/0.1)*0.1)/0.1+(VLOOKUP(H5/$B$8+0.05,$M$31:$X$67,2+10*(1-$B$22),TRUE)-VLOOKUP(H5/$B$8,$M$31:$X$67,2+10*(1-$B$22),TRUE))*(H5/$B$8-INT((H5/$B$8)/0.05)*0.05)/0.05)*8/15*(2*9.81)^0.5*TAN($B$11*PI()/360)*(H5/100+$B$20/1000)^2.5)*1000,"")),"")</f>
        <v>2.5358331744407856</v>
      </c>
      <c r="J5" s="13">
        <f t="shared" si="0"/>
      </c>
      <c r="K5" s="4" t="str">
        <f t="shared" si="1"/>
        <v>Fully contracted</v>
      </c>
      <c r="M5" s="4">
        <v>30</v>
      </c>
      <c r="N5" s="4"/>
      <c r="O5" s="4">
        <v>2.17</v>
      </c>
      <c r="P5" s="4"/>
      <c r="Q5" s="4"/>
      <c r="R5" s="4"/>
      <c r="S5" s="4"/>
      <c r="T5" s="4"/>
      <c r="U5" s="4"/>
      <c r="V5" s="4"/>
      <c r="W5" s="4"/>
      <c r="X5" s="4"/>
    </row>
    <row r="6" spans="1:24" ht="12.75">
      <c r="A6" t="s">
        <v>18</v>
      </c>
      <c r="B6" s="9"/>
      <c r="C6" s="6" t="s">
        <v>14</v>
      </c>
      <c r="D6" s="10"/>
      <c r="E6" s="11"/>
      <c r="F6" s="11"/>
      <c r="G6" s="11"/>
      <c r="H6" s="2">
        <v>10</v>
      </c>
      <c r="I6" s="12">
        <f t="shared" si="2"/>
        <v>4.408291165947133</v>
      </c>
      <c r="J6" s="13">
        <f t="shared" si="0"/>
      </c>
      <c r="K6" s="4" t="str">
        <f t="shared" si="1"/>
        <v>Fully contracted</v>
      </c>
      <c r="M6" s="4">
        <v>40</v>
      </c>
      <c r="N6" s="4"/>
      <c r="O6" s="4">
        <v>1.71</v>
      </c>
      <c r="P6" s="4"/>
      <c r="Q6" s="4"/>
      <c r="R6" s="4"/>
      <c r="S6" s="4"/>
      <c r="T6" s="4"/>
      <c r="U6" s="4"/>
      <c r="V6" s="4"/>
      <c r="W6" s="4"/>
      <c r="X6" s="4"/>
    </row>
    <row r="7" spans="1:24" ht="12.75">
      <c r="A7" t="s">
        <v>44</v>
      </c>
      <c r="B7" s="9">
        <v>90</v>
      </c>
      <c r="C7" s="6" t="s">
        <v>19</v>
      </c>
      <c r="D7" s="10"/>
      <c r="E7" s="2"/>
      <c r="F7" s="2"/>
      <c r="G7" s="2"/>
      <c r="H7" s="2">
        <v>30</v>
      </c>
      <c r="I7" s="12">
        <f t="shared" si="2"/>
        <v>67.85943873397858</v>
      </c>
      <c r="J7" s="13">
        <f t="shared" si="0"/>
      </c>
      <c r="K7" s="4" t="str">
        <f t="shared" si="1"/>
        <v>Partially contracted</v>
      </c>
      <c r="M7" s="4">
        <v>50</v>
      </c>
      <c r="N7" s="4"/>
      <c r="O7" s="4">
        <v>1.39</v>
      </c>
      <c r="P7" s="4"/>
      <c r="Q7" s="4"/>
      <c r="R7" s="4"/>
      <c r="S7" s="4"/>
      <c r="T7" s="4"/>
      <c r="U7" s="4"/>
      <c r="V7" s="4"/>
      <c r="W7" s="4"/>
      <c r="X7" s="4"/>
    </row>
    <row r="8" spans="1:24" ht="12.75">
      <c r="A8" t="s">
        <v>20</v>
      </c>
      <c r="B8" s="9">
        <v>60</v>
      </c>
      <c r="C8" s="6" t="s">
        <v>21</v>
      </c>
      <c r="D8" s="10"/>
      <c r="E8" s="2"/>
      <c r="F8" s="2"/>
      <c r="G8" s="2"/>
      <c r="H8" s="2">
        <v>60</v>
      </c>
      <c r="I8" s="12">
        <f t="shared" si="2"/>
        <v>388.5603019714778</v>
      </c>
      <c r="J8" s="13">
        <f t="shared" si="0"/>
      </c>
      <c r="K8" s="4" t="str">
        <f t="shared" si="1"/>
        <v>Partially contracted</v>
      </c>
      <c r="M8" s="4">
        <v>60</v>
      </c>
      <c r="N8" s="4"/>
      <c r="O8" s="4">
        <v>1.16</v>
      </c>
      <c r="P8" s="4"/>
      <c r="Q8" s="4"/>
      <c r="R8" s="4"/>
      <c r="S8" s="4"/>
      <c r="T8" s="4"/>
      <c r="U8" s="4"/>
      <c r="V8" s="4"/>
      <c r="W8" s="4"/>
      <c r="X8" s="4"/>
    </row>
    <row r="9" spans="1:24" ht="12.75">
      <c r="A9" t="s">
        <v>22</v>
      </c>
      <c r="B9" s="9">
        <v>20</v>
      </c>
      <c r="C9" s="6" t="s">
        <v>21</v>
      </c>
      <c r="D9" s="10"/>
      <c r="E9" s="2"/>
      <c r="F9" s="2"/>
      <c r="G9" s="2"/>
      <c r="H9" s="2"/>
      <c r="I9" s="12">
        <f t="shared" si="2"/>
      </c>
      <c r="J9" s="13">
        <f t="shared" si="0"/>
      </c>
      <c r="K9" s="4">
        <f t="shared" si="1"/>
      </c>
      <c r="M9" s="4">
        <v>70</v>
      </c>
      <c r="N9" s="4"/>
      <c r="O9" s="4">
        <v>1</v>
      </c>
      <c r="P9" s="4"/>
      <c r="Q9" s="4"/>
      <c r="R9" s="4"/>
      <c r="S9" s="4"/>
      <c r="T9" s="4"/>
      <c r="U9" s="4"/>
      <c r="V9" s="4"/>
      <c r="W9" s="4"/>
      <c r="X9" s="4"/>
    </row>
    <row r="10" spans="1:24" ht="15">
      <c r="A10" t="s">
        <v>45</v>
      </c>
      <c r="B10" s="14">
        <v>2</v>
      </c>
      <c r="C10" s="6" t="s">
        <v>14</v>
      </c>
      <c r="D10" s="10"/>
      <c r="E10" s="2"/>
      <c r="F10" s="2"/>
      <c r="G10" s="2"/>
      <c r="H10" s="2"/>
      <c r="I10" s="12">
        <f t="shared" si="2"/>
      </c>
      <c r="J10" s="13">
        <f t="shared" si="0"/>
      </c>
      <c r="K10" s="4">
        <f t="shared" si="1"/>
      </c>
      <c r="M10" s="4">
        <v>80</v>
      </c>
      <c r="N10" s="4"/>
      <c r="O10" s="4">
        <v>0.85</v>
      </c>
      <c r="P10" s="4"/>
      <c r="Q10" s="4"/>
      <c r="R10" s="4"/>
      <c r="S10" s="4"/>
      <c r="T10" s="4"/>
      <c r="U10" s="4"/>
      <c r="V10" s="4"/>
      <c r="W10" s="4"/>
      <c r="X10" s="4"/>
    </row>
    <row r="11" spans="1:24" ht="12.75">
      <c r="A11" s="3" t="s">
        <v>46</v>
      </c>
      <c r="B11" s="15">
        <f>IF(B7&gt;0,B7,IF(AND(B5&gt;0,B6&gt;0),ASIN(B5/(2*B6))*360/PI(),""))</f>
        <v>90</v>
      </c>
      <c r="C11" s="3" t="s">
        <v>19</v>
      </c>
      <c r="D11" s="10"/>
      <c r="E11" s="2"/>
      <c r="F11" s="2"/>
      <c r="G11" s="2"/>
      <c r="H11" s="2"/>
      <c r="I11" s="12">
        <f t="shared" si="2"/>
      </c>
      <c r="J11" s="13">
        <f t="shared" si="0"/>
      </c>
      <c r="K11" s="4">
        <f t="shared" si="1"/>
      </c>
      <c r="M11" s="4">
        <v>90</v>
      </c>
      <c r="N11" s="4"/>
      <c r="O11" s="4">
        <v>0.79</v>
      </c>
      <c r="P11" s="4"/>
      <c r="Q11" s="4"/>
      <c r="R11" s="4"/>
      <c r="S11" s="4"/>
      <c r="T11" s="4"/>
      <c r="U11" s="4"/>
      <c r="V11" s="4"/>
      <c r="W11" s="4"/>
      <c r="X11" s="4"/>
    </row>
    <row r="12" spans="1:24" ht="15">
      <c r="A12" s="3" t="s">
        <v>47</v>
      </c>
      <c r="B12" s="16">
        <f>5</f>
        <v>5</v>
      </c>
      <c r="C12" s="3" t="s">
        <v>21</v>
      </c>
      <c r="H12" s="2"/>
      <c r="I12" s="12">
        <f t="shared" si="2"/>
      </c>
      <c r="J12" s="13">
        <f t="shared" si="0"/>
      </c>
      <c r="K12" s="4">
        <f t="shared" si="1"/>
      </c>
      <c r="M12" s="4">
        <v>100</v>
      </c>
      <c r="N12" s="4"/>
      <c r="O12" s="4">
        <v>0.78</v>
      </c>
      <c r="P12" s="4"/>
      <c r="Q12" s="4"/>
      <c r="R12" s="4"/>
      <c r="S12" s="4"/>
      <c r="T12" s="4"/>
      <c r="U12" s="4"/>
      <c r="V12" s="4"/>
      <c r="W12" s="4"/>
      <c r="X12" s="4"/>
    </row>
    <row r="13" spans="1:24" ht="15">
      <c r="A13" s="3" t="s">
        <v>48</v>
      </c>
      <c r="B13" s="16">
        <f>IF(AND((B11-90)&lt;2,(90-B11)&lt;2),MIN(60,0.4*B4*100,1.2*B8),MIN(38,0.2*B4*100,0.4*B8))</f>
        <v>60</v>
      </c>
      <c r="C13" s="3" t="s">
        <v>21</v>
      </c>
      <c r="H13" s="2"/>
      <c r="I13" s="12">
        <f t="shared" si="2"/>
      </c>
      <c r="J13" s="13">
        <f t="shared" si="0"/>
      </c>
      <c r="K13" s="4">
        <f t="shared" si="1"/>
      </c>
      <c r="M13" s="4"/>
      <c r="N13" s="4"/>
      <c r="O13" s="4"/>
      <c r="P13" s="4"/>
      <c r="Q13" s="4"/>
      <c r="R13" s="4"/>
      <c r="S13" s="4"/>
      <c r="T13" s="4"/>
      <c r="U13" s="4"/>
      <c r="V13" s="4"/>
      <c r="W13" s="4"/>
      <c r="X13" s="4"/>
    </row>
    <row r="14" spans="1:24" ht="15">
      <c r="A14" s="3" t="s">
        <v>49</v>
      </c>
      <c r="B14" s="17">
        <f>IF(B17="Fully",($B$21*8/15*(2*9.81)^0.5*TAN($B$11*PI()/360)*(B12/100+$B$20/1000)^2.5)*1000,IF(AND(B17="Partially",($B$11-90)&lt;2),((VLOOKUP(B12/$B$8,$M$31:$X$67,2+10*(1-$B$22),TRUE)+(VLOOKUP(B12/$B$8,$M$31:$X$67,2+10*(1.1-$B$22),TRUE)-VLOOKUP(B12/$B$8,$M$31:$X$67,2+10*(1-$B$22),TRUE))*($B$22-INT($B$22/0.1)*0.1)/0.1+(VLOOKUP(B12/$B$8+0.05,$M$31:$X$67,2+10*(1-$B$22),TRUE)-VLOOKUP(B12/$B$8,$M$31:$X$67,2+10*(1-$B$22),TRUE))*(B12/$B$8-INT((B12/$B$8)/0.05)*0.05)/0.05)*8/15*(2*9.81)^0.5*TAN($B$11*PI()/360)*(B12/100+$B$20/1000)^2.5)*1000,""))</f>
        <v>0.794643235654198</v>
      </c>
      <c r="C14" s="3" t="s">
        <v>23</v>
      </c>
      <c r="H14" s="2"/>
      <c r="I14" s="12">
        <f t="shared" si="2"/>
      </c>
      <c r="J14" s="13">
        <f t="shared" si="0"/>
      </c>
      <c r="K14" s="4">
        <f t="shared" si="1"/>
      </c>
      <c r="M14" s="18" t="s">
        <v>24</v>
      </c>
      <c r="N14" s="18"/>
      <c r="O14" s="4"/>
      <c r="P14" s="4"/>
      <c r="Q14" s="4"/>
      <c r="R14" s="4"/>
      <c r="S14" s="4"/>
      <c r="T14" s="4"/>
      <c r="U14" s="4"/>
      <c r="V14" s="4"/>
      <c r="W14" s="4"/>
      <c r="X14" s="4"/>
    </row>
    <row r="15" spans="1:24" ht="15">
      <c r="A15" s="3" t="s">
        <v>50</v>
      </c>
      <c r="B15" s="17">
        <f>IF(B18="Fully",($B$21*8/15*(2*9.81)^0.5*TAN($B$11*PI()/360)*(B13/100+$B$20/1000)^2.5)*1000,IF(AND(B18="Partially",($B$11-90)&lt;2),((VLOOKUP(B13/$B$8,$M$31:$X$67,2+10*(1-$B$22),TRUE)+(VLOOKUP(B13/$B$8,$M$31:$X$67,2+10*(1.1-$B$22),TRUE)-VLOOKUP(B13/$B$8,$M$31:$X$67,2+10*(1-$B$22),TRUE))*($B$22-INT($B$22/0.1)*0.1)/0.1+(VLOOKUP(B13/$B$8+0.05,$M$31:$X$67,2+10*(1-$B$22),TRUE)-VLOOKUP(B13/$B$8,$M$31:$X$67,2+10*(1-$B$22),TRUE))*(B13/$B$8-INT((B13/$B$8)/0.05)*0.05)/0.05)*8/15*(2*9.81)^0.5*TAN($B$11*PI()/360)*(B13/100+$B$20/1000)^2.5)*1000,""))</f>
        <v>388.5603019714778</v>
      </c>
      <c r="C15" s="3" t="s">
        <v>23</v>
      </c>
      <c r="H15" s="2"/>
      <c r="I15" s="12">
        <f t="shared" si="2"/>
      </c>
      <c r="J15" s="13">
        <f t="shared" si="0"/>
      </c>
      <c r="K15" s="4">
        <f t="shared" si="1"/>
      </c>
      <c r="M15" s="4" t="s">
        <v>11</v>
      </c>
      <c r="N15" s="4"/>
      <c r="O15" s="4" t="s">
        <v>25</v>
      </c>
      <c r="P15" s="4"/>
      <c r="Q15" s="4"/>
      <c r="R15" s="4"/>
      <c r="S15" s="4"/>
      <c r="T15" s="4"/>
      <c r="U15" s="4"/>
      <c r="V15" s="4"/>
      <c r="W15" s="4"/>
      <c r="X15" s="4"/>
    </row>
    <row r="16" spans="1:24" ht="12.75">
      <c r="A16" s="4" t="s">
        <v>26</v>
      </c>
      <c r="B16" s="19">
        <f>MIN(38,0.2*B4*100,0.4*B8)</f>
        <v>24</v>
      </c>
      <c r="C16" s="4"/>
      <c r="D16" s="20"/>
      <c r="H16" s="2"/>
      <c r="I16" s="12">
        <f t="shared" si="2"/>
      </c>
      <c r="J16" s="13">
        <f t="shared" si="0"/>
      </c>
      <c r="K16" s="4">
        <f t="shared" si="1"/>
      </c>
      <c r="M16" s="4">
        <v>20</v>
      </c>
      <c r="N16" s="4"/>
      <c r="O16" s="4">
        <v>0.5959</v>
      </c>
      <c r="P16" s="4"/>
      <c r="Q16" s="4"/>
      <c r="R16" s="4"/>
      <c r="S16" s="4"/>
      <c r="T16" s="4"/>
      <c r="U16" s="4"/>
      <c r="V16" s="4"/>
      <c r="W16" s="4"/>
      <c r="X16" s="4"/>
    </row>
    <row r="17" spans="1:24" ht="12.75">
      <c r="A17" s="4"/>
      <c r="B17" s="21" t="str">
        <f>IF(AND(B12&lt;$B$16+0.01,$B$8&gt;44.99,$B$4&gt;0.8999),"Fully",IF(AND(B12&lt;$B$13+0.01,$B$8&gt;9.99,$B$4&gt;0.5999,(VLOOKUP(B12/$B$8,$M$31:$X$67,2+10*(1-$B$22),TRUE)+(VLOOKUP(B12/$B$8,$M$31:$X$67,2+10*(1.1-$B$22),TRUE)-VLOOKUP(B12/$B$8,$M$31:$X$67,2+10*(1-$B$22),TRUE))*($B$22-INT($B$22/0.1)*0.1)/0.1+(VLOOKUP(B12/$B$8+0.05,$M$31:$X$67,2+10*(1-$B$22),TRUE)-VLOOKUP(B12/$B$8,$M$31:$X$67,2+10*(1-$B$22),TRUE))*(B12/$B$8-INT((B12/$B$8)/0.05)*0.05)/0.05)&gt;0),"Partially",""))</f>
        <v>Fully</v>
      </c>
      <c r="C17" s="22"/>
      <c r="H17" s="2"/>
      <c r="I17" s="12">
        <f t="shared" si="2"/>
      </c>
      <c r="J17" s="13">
        <f t="shared" si="0"/>
      </c>
      <c r="K17" s="4">
        <f t="shared" si="1"/>
      </c>
      <c r="M17" s="4">
        <v>30</v>
      </c>
      <c r="N17" s="4"/>
      <c r="O17" s="4">
        <v>0.5859</v>
      </c>
      <c r="P17" s="4"/>
      <c r="Q17" s="4"/>
      <c r="R17" s="4"/>
      <c r="S17" s="4"/>
      <c r="T17" s="4"/>
      <c r="U17" s="4"/>
      <c r="V17" s="4"/>
      <c r="W17" s="4"/>
      <c r="X17" s="4"/>
    </row>
    <row r="18" spans="1:24" ht="12.75">
      <c r="A18" s="4"/>
      <c r="B18" s="21" t="str">
        <f>IF(AND(B13&lt;$B$16+0.01,$B$8&gt;44.99,$B$4&gt;0.8999),"Fully",IF(AND(B13&lt;$B$13+0.01,$B$8&gt;9.99,$B$4&gt;0.5999,(VLOOKUP(B13/$B$8,$M$31:$X$67,2+10*(1-$B$22),TRUE)+(VLOOKUP(B13/$B$8,$M$31:$X$67,2+10*(1.1-$B$22),TRUE)-VLOOKUP(B13/$B$8,$M$31:$X$67,2+10*(1-$B$22),TRUE))*($B$22-INT($B$22/0.1)*0.1)/0.1+(VLOOKUP(B13/$B$8+0.05,$M$31:$X$67,2+10*(1-$B$22),TRUE)-VLOOKUP(B13/$B$8,$M$31:$X$67,2+10*(1-$B$22),TRUE))*(B13/$B$8-INT((B13/$B$8)/0.05)*0.05)/0.05)&gt;0),"Partially","Ekki er hægt að reikna rennsli fyrir þessa vatnshæð"))</f>
        <v>Partially</v>
      </c>
      <c r="C18" s="4"/>
      <c r="H18" s="2"/>
      <c r="I18" s="12">
        <f t="shared" si="2"/>
      </c>
      <c r="J18" s="13">
        <f t="shared" si="0"/>
      </c>
      <c r="K18" s="4">
        <f t="shared" si="1"/>
      </c>
      <c r="M18" s="4">
        <v>40</v>
      </c>
      <c r="N18" s="4"/>
      <c r="O18" s="4">
        <v>0.5812</v>
      </c>
      <c r="P18" s="4"/>
      <c r="Q18" s="4"/>
      <c r="R18" s="4"/>
      <c r="S18" s="4"/>
      <c r="T18" s="4"/>
      <c r="U18" s="4"/>
      <c r="V18" s="4"/>
      <c r="W18" s="4"/>
      <c r="X18" s="4"/>
    </row>
    <row r="19" spans="1:24" ht="12.75">
      <c r="A19" s="4" t="s">
        <v>27</v>
      </c>
      <c r="B19" s="4"/>
      <c r="C19" s="4"/>
      <c r="H19" s="2"/>
      <c r="I19" s="12">
        <f t="shared" si="2"/>
      </c>
      <c r="J19" s="13">
        <f t="shared" si="0"/>
      </c>
      <c r="K19" s="4">
        <f t="shared" si="1"/>
      </c>
      <c r="M19" s="4">
        <v>50</v>
      </c>
      <c r="N19" s="4"/>
      <c r="O19" s="4">
        <v>0.5787</v>
      </c>
      <c r="P19" s="4"/>
      <c r="Q19" s="4"/>
      <c r="R19" s="4"/>
      <c r="S19" s="4"/>
      <c r="T19" s="4"/>
      <c r="U19" s="4"/>
      <c r="V19" s="4"/>
      <c r="W19" s="4"/>
      <c r="X19" s="4"/>
    </row>
    <row r="20" spans="1:24" ht="12.75">
      <c r="A20" s="4" t="s">
        <v>28</v>
      </c>
      <c r="B20" s="23">
        <f>(LOOKUP($B$11,$M$4:$M$12,$O$4:$O$12))+(LOOKUP($B$11+10,$M$4:$M$12,$O$4:$O$12)-LOOKUP($B$11,$M$4:$M$12,$O$4:$O$12))*($B$11-INT($B$11/10)*10)/10</f>
        <v>0.79</v>
      </c>
      <c r="C20" s="4" t="s">
        <v>29</v>
      </c>
      <c r="H20" s="2"/>
      <c r="I20" s="12">
        <f t="shared" si="2"/>
      </c>
      <c r="J20" s="13">
        <f t="shared" si="0"/>
      </c>
      <c r="K20" s="4">
        <f t="shared" si="1"/>
      </c>
      <c r="M20" s="4">
        <v>60</v>
      </c>
      <c r="N20" s="4"/>
      <c r="O20" s="4">
        <v>0.5772</v>
      </c>
      <c r="P20" s="4"/>
      <c r="Q20" s="4"/>
      <c r="R20" s="4"/>
      <c r="S20" s="4"/>
      <c r="T20" s="4"/>
      <c r="U20" s="4"/>
      <c r="V20" s="4"/>
      <c r="W20" s="4"/>
      <c r="X20" s="4"/>
    </row>
    <row r="21" spans="1:24" ht="12.75">
      <c r="A21" s="4" t="s">
        <v>30</v>
      </c>
      <c r="B21" s="23">
        <f>(LOOKUP($B$11,$M$16:$M$24,$O$16:$O$24))+(LOOKUP($B$11+10,$M$16:$M$24,$O$16:$O$24)-LOOKUP($B$11,$M$16:$M$24,$O$16:$O$24))*($B$11-INT($B$11/10)*10)/10</f>
        <v>0.5786</v>
      </c>
      <c r="C21" s="4"/>
      <c r="H21" s="2"/>
      <c r="I21" s="12">
        <f t="shared" si="2"/>
      </c>
      <c r="J21" s="13">
        <f t="shared" si="0"/>
      </c>
      <c r="K21" s="4">
        <f t="shared" si="1"/>
      </c>
      <c r="M21" s="4">
        <v>70</v>
      </c>
      <c r="N21" s="4"/>
      <c r="O21" s="4">
        <v>0.5771</v>
      </c>
      <c r="P21" s="4"/>
      <c r="Q21" s="4"/>
      <c r="R21" s="4"/>
      <c r="S21" s="4"/>
      <c r="T21" s="4"/>
      <c r="U21" s="4"/>
      <c r="V21" s="4"/>
      <c r="W21" s="4"/>
      <c r="X21" s="4"/>
    </row>
    <row r="22" spans="1:24" ht="12.75">
      <c r="A22" s="4"/>
      <c r="B22" s="4">
        <f>B8/100/B4</f>
        <v>0.3</v>
      </c>
      <c r="C22" s="4"/>
      <c r="H22" s="2"/>
      <c r="I22" s="12">
        <f t="shared" si="2"/>
      </c>
      <c r="J22" s="13">
        <f t="shared" si="0"/>
      </c>
      <c r="K22" s="4">
        <f t="shared" si="1"/>
      </c>
      <c r="M22" s="4">
        <v>80</v>
      </c>
      <c r="N22" s="4"/>
      <c r="O22" s="4">
        <v>0.5775</v>
      </c>
      <c r="P22" s="4"/>
      <c r="Q22" s="4"/>
      <c r="R22" s="4"/>
      <c r="S22" s="4"/>
      <c r="T22" s="4"/>
      <c r="U22" s="4"/>
      <c r="V22" s="4"/>
      <c r="W22" s="4"/>
      <c r="X22" s="4"/>
    </row>
    <row r="23" spans="1:24" ht="12.75">
      <c r="A23" s="3" t="s">
        <v>31</v>
      </c>
      <c r="B23" s="3"/>
      <c r="C23" s="3"/>
      <c r="H23" s="2"/>
      <c r="I23" s="12">
        <f t="shared" si="2"/>
      </c>
      <c r="J23" s="13">
        <f t="shared" si="0"/>
      </c>
      <c r="K23" s="4">
        <f t="shared" si="1"/>
      </c>
      <c r="M23" s="4">
        <v>90</v>
      </c>
      <c r="N23" s="4"/>
      <c r="O23" s="4">
        <v>0.5786</v>
      </c>
      <c r="P23" s="4"/>
      <c r="Q23" s="4"/>
      <c r="R23" s="4"/>
      <c r="S23" s="4"/>
      <c r="T23" s="4"/>
      <c r="U23" s="4"/>
      <c r="V23" s="4"/>
      <c r="W23" s="4"/>
      <c r="X23" s="4"/>
    </row>
    <row r="24" spans="1:24" ht="12.75">
      <c r="A24" s="24">
        <f>IF(B8&lt;10,"Þröskuldurinn verður að vera að minnsta kosti 10 cm hár","")</f>
      </c>
      <c r="B24" s="3"/>
      <c r="C24" s="3"/>
      <c r="H24" s="2"/>
      <c r="I24" s="12">
        <f t="shared" si="2"/>
      </c>
      <c r="J24" s="13">
        <f t="shared" si="0"/>
      </c>
      <c r="K24" s="4">
        <f t="shared" si="1"/>
      </c>
      <c r="M24" s="4">
        <v>100</v>
      </c>
      <c r="N24" s="4"/>
      <c r="O24" s="4">
        <v>0.5806</v>
      </c>
      <c r="P24" s="4"/>
      <c r="Q24" s="4"/>
      <c r="R24" s="4"/>
      <c r="S24" s="4"/>
      <c r="T24" s="4"/>
      <c r="U24" s="4"/>
      <c r="V24" s="4"/>
      <c r="W24" s="4"/>
      <c r="X24" s="4"/>
    </row>
    <row r="25" spans="1:24" ht="12.75">
      <c r="A25" s="24">
        <f>IF(B11&lt;20,"Hornið verður að vera að minnsta kosti 20°",IF(B11&gt;100,"Hornið verður að vera minna en 100°",""))</f>
      </c>
      <c r="B25" s="3"/>
      <c r="C25" s="3"/>
      <c r="H25" s="2"/>
      <c r="I25" s="12">
        <f t="shared" si="2"/>
      </c>
      <c r="J25" s="13">
        <f t="shared" si="0"/>
      </c>
      <c r="K25" s="4">
        <f t="shared" si="1"/>
      </c>
      <c r="M25" s="4"/>
      <c r="N25" s="4"/>
      <c r="O25" s="4"/>
      <c r="P25" s="4"/>
      <c r="Q25" s="4"/>
      <c r="R25" s="4"/>
      <c r="S25" s="4"/>
      <c r="T25" s="4"/>
      <c r="U25" s="4"/>
      <c r="V25" s="4"/>
      <c r="W25" s="4"/>
      <c r="X25" s="4"/>
    </row>
    <row r="26" spans="1:24" ht="12.75">
      <c r="A26" s="24">
        <f>IF(B9&lt;5,"Vatnsborð neðan stíflu verður að vera a.m.k. 5 cm lægra en skarð stíflunnar","")</f>
      </c>
      <c r="B26" s="3"/>
      <c r="C26" s="3"/>
      <c r="H26" s="2"/>
      <c r="I26" s="12">
        <f t="shared" si="2"/>
      </c>
      <c r="J26" s="13">
        <f t="shared" si="0"/>
      </c>
      <c r="K26" s="4">
        <f t="shared" si="1"/>
      </c>
      <c r="M26" s="4"/>
      <c r="N26" s="4"/>
      <c r="O26" s="4"/>
      <c r="P26" s="4"/>
      <c r="Q26" s="4"/>
      <c r="R26" s="4"/>
      <c r="S26" s="4"/>
      <c r="T26" s="4"/>
      <c r="U26" s="4"/>
      <c r="V26" s="4"/>
      <c r="W26" s="4"/>
      <c r="X26" s="4"/>
    </row>
    <row r="27" spans="1:24" ht="12.75">
      <c r="A27" s="24">
        <f>IF(B4&lt;0.6,"Farvegurinn er ekki nógu breiður til að hægt sé að reikna rennsli um V-laga yfirfall, hann verður að vera a.m.k. 0,6 m breiður",IF(AND(B4&lt;0.9,NOT(B11=90)),"Farvegur er ekki nógu breiður til að vatnshæð sé ótrufluð af bökkum, því gilda formúlur aðeins fyrir 90° horn",""))</f>
      </c>
      <c r="B27" s="3"/>
      <c r="C27" s="3"/>
      <c r="H27" s="2"/>
      <c r="I27" s="12">
        <f t="shared" si="2"/>
      </c>
      <c r="J27" s="13">
        <f t="shared" si="0"/>
      </c>
      <c r="K27" s="4">
        <f t="shared" si="1"/>
      </c>
      <c r="M27" s="18" t="s">
        <v>32</v>
      </c>
      <c r="N27" s="18"/>
      <c r="O27" s="4"/>
      <c r="P27" s="4"/>
      <c r="Q27" s="4"/>
      <c r="R27" s="4"/>
      <c r="S27" s="4"/>
      <c r="T27" s="4"/>
      <c r="U27" s="4"/>
      <c r="V27" s="4"/>
      <c r="W27" s="4"/>
      <c r="X27" s="4"/>
    </row>
    <row r="28" spans="1:24" ht="12.75">
      <c r="A28" s="24">
        <f>IF(AND(B8&lt;45,NOT(B11=90)),"Þröskuldshæð er ekki nógu há til að vatnshæð sé ótrufluð af bökkum því gilda formúlur aðeins fyrir 90° horn","")</f>
      </c>
      <c r="B28" s="3"/>
      <c r="C28" s="3"/>
      <c r="H28" s="2"/>
      <c r="I28" s="12">
        <f t="shared" si="2"/>
      </c>
      <c r="J28" s="13">
        <f t="shared" si="0"/>
      </c>
      <c r="K28" s="4">
        <f t="shared" si="1"/>
      </c>
      <c r="M28" s="25"/>
      <c r="N28" s="26">
        <v>1</v>
      </c>
      <c r="O28" s="4"/>
      <c r="P28" s="4"/>
      <c r="Q28" s="4"/>
      <c r="R28" s="4"/>
      <c r="S28" s="4"/>
      <c r="T28" s="4"/>
      <c r="U28" s="4"/>
      <c r="V28" s="4"/>
      <c r="W28" s="4"/>
      <c r="X28" s="4"/>
    </row>
    <row r="29" spans="1:24" ht="12.75">
      <c r="A29" s="3"/>
      <c r="B29" s="3"/>
      <c r="C29" s="3"/>
      <c r="H29" s="2"/>
      <c r="I29" s="12">
        <f t="shared" si="2"/>
      </c>
      <c r="J29" s="13">
        <f t="shared" si="0"/>
      </c>
      <c r="K29" s="4">
        <f t="shared" si="1"/>
      </c>
      <c r="M29" s="4" t="s">
        <v>33</v>
      </c>
      <c r="N29" s="4" t="s">
        <v>34</v>
      </c>
      <c r="O29" s="4" t="s">
        <v>35</v>
      </c>
      <c r="P29" s="4" t="s">
        <v>36</v>
      </c>
      <c r="Q29" s="4" t="s">
        <v>37</v>
      </c>
      <c r="R29" s="4" t="s">
        <v>38</v>
      </c>
      <c r="S29" s="4" t="s">
        <v>39</v>
      </c>
      <c r="T29" s="4" t="s">
        <v>40</v>
      </c>
      <c r="U29" s="4" t="s">
        <v>41</v>
      </c>
      <c r="V29" s="4" t="s">
        <v>42</v>
      </c>
      <c r="W29" s="4" t="s">
        <v>43</v>
      </c>
      <c r="X29" s="4"/>
    </row>
    <row r="30" spans="1:24" ht="12.75">
      <c r="A30" s="3"/>
      <c r="B30" s="3"/>
      <c r="C30" s="3"/>
      <c r="H30" s="2"/>
      <c r="I30" s="12">
        <f t="shared" si="2"/>
      </c>
      <c r="J30" s="13">
        <f t="shared" si="0"/>
      </c>
      <c r="K30" s="4">
        <f t="shared" si="1"/>
      </c>
      <c r="M30" s="4"/>
      <c r="N30" s="4">
        <v>1</v>
      </c>
      <c r="O30" s="4">
        <v>0.9</v>
      </c>
      <c r="P30" s="4">
        <v>0.8</v>
      </c>
      <c r="Q30" s="4">
        <v>0.7</v>
      </c>
      <c r="R30" s="4">
        <v>0.6</v>
      </c>
      <c r="S30" s="4">
        <v>0.5</v>
      </c>
      <c r="T30" s="4">
        <v>0.4</v>
      </c>
      <c r="U30" s="4">
        <v>0.3</v>
      </c>
      <c r="V30" s="4">
        <v>0.2</v>
      </c>
      <c r="W30" s="4">
        <v>0.1</v>
      </c>
      <c r="X30" s="4">
        <v>0</v>
      </c>
    </row>
    <row r="31" spans="1:24" ht="12.75">
      <c r="A31" s="3"/>
      <c r="B31" s="3"/>
      <c r="C31" s="3"/>
      <c r="H31" s="2"/>
      <c r="I31" s="12">
        <f t="shared" si="2"/>
      </c>
      <c r="J31" s="13">
        <f t="shared" si="0"/>
      </c>
      <c r="K31" s="4">
        <f t="shared" si="1"/>
      </c>
      <c r="M31" s="4">
        <v>0</v>
      </c>
      <c r="N31" s="4">
        <v>0.578</v>
      </c>
      <c r="O31" s="4">
        <v>0.578</v>
      </c>
      <c r="P31" s="4">
        <v>0.578</v>
      </c>
      <c r="Q31" s="4">
        <v>0.578</v>
      </c>
      <c r="R31" s="4">
        <v>0.578</v>
      </c>
      <c r="S31" s="4">
        <v>0.578</v>
      </c>
      <c r="T31" s="4">
        <v>0.578</v>
      </c>
      <c r="U31" s="4">
        <v>0.578</v>
      </c>
      <c r="V31" s="4">
        <v>0.578</v>
      </c>
      <c r="W31" s="4">
        <v>0.578</v>
      </c>
      <c r="X31" s="4">
        <v>0.578</v>
      </c>
    </row>
    <row r="32" spans="1:24" ht="12.75">
      <c r="A32" s="3"/>
      <c r="B32" s="3"/>
      <c r="C32" s="3"/>
      <c r="H32" s="2"/>
      <c r="I32" s="12">
        <f t="shared" si="2"/>
      </c>
      <c r="J32" s="13">
        <f t="shared" si="0"/>
      </c>
      <c r="K32" s="4">
        <f t="shared" si="1"/>
      </c>
      <c r="M32" s="4">
        <v>0.15</v>
      </c>
      <c r="N32" s="4">
        <v>0.578</v>
      </c>
      <c r="O32" s="4">
        <v>0.578</v>
      </c>
      <c r="P32" s="4">
        <v>0.578</v>
      </c>
      <c r="Q32" s="4">
        <v>0.578</v>
      </c>
      <c r="R32" s="4">
        <v>0.578</v>
      </c>
      <c r="S32" s="4">
        <v>0.578</v>
      </c>
      <c r="T32" s="4">
        <v>0.578</v>
      </c>
      <c r="U32" s="4">
        <v>0.578</v>
      </c>
      <c r="V32" s="4">
        <v>0.578</v>
      </c>
      <c r="W32" s="4">
        <v>0.578</v>
      </c>
      <c r="X32" s="4">
        <v>0.578</v>
      </c>
    </row>
    <row r="33" spans="1:24" ht="12.75">
      <c r="A33" s="3"/>
      <c r="B33" s="3"/>
      <c r="C33" s="3"/>
      <c r="H33" s="2"/>
      <c r="I33" s="12">
        <f t="shared" si="2"/>
      </c>
      <c r="J33" s="13">
        <f t="shared" si="0"/>
      </c>
      <c r="K33" s="4">
        <f t="shared" si="1"/>
      </c>
      <c r="M33" s="4">
        <v>0.2</v>
      </c>
      <c r="N33" s="4">
        <v>0.579</v>
      </c>
      <c r="O33" s="4">
        <v>0.579</v>
      </c>
      <c r="P33" s="4">
        <v>0.579</v>
      </c>
      <c r="Q33" s="4">
        <v>0.579</v>
      </c>
      <c r="R33" s="4">
        <v>0.579</v>
      </c>
      <c r="S33" s="4">
        <v>0.579</v>
      </c>
      <c r="T33" s="4">
        <v>0.579</v>
      </c>
      <c r="U33" s="4">
        <v>0.579</v>
      </c>
      <c r="V33" s="4">
        <v>0.579</v>
      </c>
      <c r="W33" s="4">
        <v>0.579</v>
      </c>
      <c r="X33" s="4">
        <v>0.579</v>
      </c>
    </row>
    <row r="34" spans="1:24" ht="12.75">
      <c r="A34" s="3"/>
      <c r="B34" s="3"/>
      <c r="C34" s="3"/>
      <c r="H34" s="2"/>
      <c r="I34" s="12">
        <f t="shared" si="2"/>
      </c>
      <c r="J34" s="13">
        <f t="shared" si="0"/>
      </c>
      <c r="K34" s="4">
        <f t="shared" si="1"/>
      </c>
      <c r="M34" s="4">
        <v>0.25</v>
      </c>
      <c r="N34" s="4">
        <v>0.5805</v>
      </c>
      <c r="O34" s="4">
        <v>0.5794</v>
      </c>
      <c r="P34" s="4">
        <v>0.5794</v>
      </c>
      <c r="Q34" s="4">
        <v>0.5794</v>
      </c>
      <c r="R34" s="4">
        <v>0.579</v>
      </c>
      <c r="S34" s="4">
        <v>0.5785</v>
      </c>
      <c r="T34" s="4">
        <v>0.5785</v>
      </c>
      <c r="U34" s="4">
        <v>0.5785</v>
      </c>
      <c r="V34" s="4">
        <v>0.5785</v>
      </c>
      <c r="W34" s="4">
        <v>0.5785</v>
      </c>
      <c r="X34" s="4">
        <v>0.5785</v>
      </c>
    </row>
    <row r="35" spans="1:24" ht="12.75">
      <c r="A35" s="3"/>
      <c r="B35" s="3"/>
      <c r="C35" s="3"/>
      <c r="H35" s="2"/>
      <c r="I35" s="12">
        <f t="shared" si="2"/>
      </c>
      <c r="J35" s="13">
        <f t="shared" si="0"/>
      </c>
      <c r="K35" s="4">
        <f t="shared" si="1"/>
      </c>
      <c r="M35" s="4">
        <v>0.3</v>
      </c>
      <c r="N35" s="4">
        <v>0.5827</v>
      </c>
      <c r="O35" s="4">
        <v>0.5805</v>
      </c>
      <c r="P35" s="4">
        <v>0.5805</v>
      </c>
      <c r="Q35" s="4">
        <v>0.58</v>
      </c>
      <c r="R35" s="4">
        <v>0.5795</v>
      </c>
      <c r="S35" s="4">
        <v>0.5785</v>
      </c>
      <c r="T35" s="4">
        <v>0.5785</v>
      </c>
      <c r="U35" s="4">
        <v>0.5785</v>
      </c>
      <c r="V35" s="4">
        <v>0.5785</v>
      </c>
      <c r="W35" s="4">
        <v>0.5785</v>
      </c>
      <c r="X35" s="4">
        <v>0.5785</v>
      </c>
    </row>
    <row r="36" spans="1:24" ht="12.75">
      <c r="A36" s="3"/>
      <c r="B36" s="3"/>
      <c r="C36" s="3"/>
      <c r="H36" s="2"/>
      <c r="I36" s="12">
        <f t="shared" si="2"/>
      </c>
      <c r="J36" s="13">
        <f t="shared" si="0"/>
      </c>
      <c r="K36" s="4">
        <f t="shared" si="1"/>
      </c>
      <c r="M36" s="4">
        <v>0.35</v>
      </c>
      <c r="N36" s="4">
        <v>0.586</v>
      </c>
      <c r="O36" s="4">
        <v>0.5835</v>
      </c>
      <c r="P36" s="4">
        <v>0.583</v>
      </c>
      <c r="Q36" s="4">
        <v>0.581</v>
      </c>
      <c r="R36" s="4">
        <v>0.58</v>
      </c>
      <c r="S36" s="4">
        <v>0.5788</v>
      </c>
      <c r="T36" s="4">
        <v>0.5788</v>
      </c>
      <c r="U36" s="4">
        <v>0.5785</v>
      </c>
      <c r="V36" s="4">
        <v>0.5783</v>
      </c>
      <c r="W36" s="4">
        <v>0.5783</v>
      </c>
      <c r="X36" s="4">
        <v>0.5783</v>
      </c>
    </row>
    <row r="37" spans="1:24" ht="12.75">
      <c r="A37" s="3"/>
      <c r="B37" s="3"/>
      <c r="C37" s="3"/>
      <c r="H37" s="2"/>
      <c r="I37" s="12">
        <f t="shared" si="2"/>
      </c>
      <c r="J37" s="13">
        <f t="shared" si="0"/>
      </c>
      <c r="K37" s="4">
        <f t="shared" si="1"/>
      </c>
      <c r="M37" s="4">
        <v>0.4</v>
      </c>
      <c r="N37" s="4">
        <v>0.5902</v>
      </c>
      <c r="O37" s="4">
        <v>0.5875</v>
      </c>
      <c r="P37" s="4">
        <v>0.586</v>
      </c>
      <c r="Q37" s="4">
        <v>0.583</v>
      </c>
      <c r="R37" s="4">
        <v>0.5811</v>
      </c>
      <c r="S37" s="4">
        <v>0.5798</v>
      </c>
      <c r="T37" s="4">
        <v>0.579</v>
      </c>
      <c r="U37" s="4">
        <v>0.5785</v>
      </c>
      <c r="V37" s="4">
        <v>0.5775</v>
      </c>
      <c r="W37" s="4">
        <v>0.5775</v>
      </c>
      <c r="X37" s="4">
        <v>0.5775</v>
      </c>
    </row>
    <row r="38" spans="1:24" ht="12.75">
      <c r="A38" s="3"/>
      <c r="B38" s="3"/>
      <c r="C38" s="3"/>
      <c r="H38" s="2"/>
      <c r="I38" s="12">
        <f t="shared" si="2"/>
      </c>
      <c r="J38" s="13">
        <f t="shared" si="0"/>
      </c>
      <c r="K38" s="4">
        <f t="shared" si="1"/>
      </c>
      <c r="M38" s="4">
        <v>0.45</v>
      </c>
      <c r="N38" s="4">
        <v>0.5975</v>
      </c>
      <c r="O38" s="4">
        <v>0.5925</v>
      </c>
      <c r="P38" s="4">
        <v>0.589</v>
      </c>
      <c r="Q38" s="4">
        <v>0.5854</v>
      </c>
      <c r="R38" s="4">
        <v>0.5825</v>
      </c>
      <c r="S38" s="4">
        <v>0.5805</v>
      </c>
      <c r="T38" s="4">
        <v>0.5797</v>
      </c>
      <c r="U38" s="4">
        <v>0.5785</v>
      </c>
      <c r="V38" s="4">
        <v>0.577</v>
      </c>
      <c r="W38" s="4">
        <v>0.577</v>
      </c>
      <c r="X38" s="4">
        <v>0.577</v>
      </c>
    </row>
    <row r="39" spans="1:24" ht="12.75">
      <c r="A39" s="3"/>
      <c r="B39" s="3"/>
      <c r="C39" s="3"/>
      <c r="H39" s="2"/>
      <c r="I39" s="12">
        <f t="shared" si="2"/>
      </c>
      <c r="J39" s="13">
        <f t="shared" si="0"/>
      </c>
      <c r="K39" s="4">
        <f t="shared" si="1"/>
      </c>
      <c r="M39" s="4">
        <v>0.5</v>
      </c>
      <c r="N39" s="4">
        <v>-999</v>
      </c>
      <c r="O39" s="4">
        <v>0.5995</v>
      </c>
      <c r="P39" s="4">
        <v>0.593</v>
      </c>
      <c r="Q39" s="4">
        <v>0.5882</v>
      </c>
      <c r="R39" s="4">
        <v>0.5842</v>
      </c>
      <c r="S39" s="4">
        <v>0.5818</v>
      </c>
      <c r="T39" s="4">
        <v>0.5805</v>
      </c>
      <c r="U39" s="4">
        <v>0.5789</v>
      </c>
      <c r="V39" s="4">
        <v>0.577</v>
      </c>
      <c r="W39" s="4">
        <v>0.577</v>
      </c>
      <c r="X39" s="4">
        <v>0.577</v>
      </c>
    </row>
    <row r="40" spans="1:24" ht="12.75">
      <c r="A40" s="3"/>
      <c r="B40" s="3"/>
      <c r="C40" s="3"/>
      <c r="H40" s="2"/>
      <c r="I40" s="12">
        <f t="shared" si="2"/>
      </c>
      <c r="J40" s="13">
        <f t="shared" si="0"/>
      </c>
      <c r="K40" s="4">
        <f t="shared" si="1"/>
      </c>
      <c r="M40" s="4">
        <v>0.55</v>
      </c>
      <c r="N40" s="4">
        <v>-999</v>
      </c>
      <c r="O40" s="4">
        <v>-999</v>
      </c>
      <c r="P40" s="4">
        <v>0.5985</v>
      </c>
      <c r="Q40" s="4">
        <v>0.591</v>
      </c>
      <c r="R40" s="4">
        <v>0.5865</v>
      </c>
      <c r="S40" s="4">
        <v>0.5831</v>
      </c>
      <c r="T40" s="4">
        <v>0.5815</v>
      </c>
      <c r="U40" s="4">
        <v>0.5792</v>
      </c>
      <c r="V40" s="4">
        <v>0.5768</v>
      </c>
      <c r="W40" s="4">
        <v>0.5765</v>
      </c>
      <c r="X40" s="4">
        <v>0.5765</v>
      </c>
    </row>
    <row r="41" spans="8:24" ht="12.75">
      <c r="H41" s="2"/>
      <c r="I41" s="12">
        <f t="shared" si="2"/>
      </c>
      <c r="J41" s="13">
        <f t="shared" si="0"/>
      </c>
      <c r="K41" s="4">
        <f t="shared" si="1"/>
      </c>
      <c r="M41" s="4">
        <v>0.6</v>
      </c>
      <c r="N41" s="4">
        <v>-999</v>
      </c>
      <c r="O41" s="4">
        <v>-999</v>
      </c>
      <c r="P41" s="4">
        <v>0.605</v>
      </c>
      <c r="Q41" s="4">
        <v>0.596</v>
      </c>
      <c r="R41" s="4">
        <v>0.5896</v>
      </c>
      <c r="S41" s="4">
        <v>0.5848</v>
      </c>
      <c r="T41" s="4">
        <v>0.5825</v>
      </c>
      <c r="U41" s="4">
        <v>0.5798</v>
      </c>
      <c r="V41" s="4">
        <v>0.577</v>
      </c>
      <c r="W41" s="4">
        <v>0.5765</v>
      </c>
      <c r="X41" s="4">
        <v>0.5765</v>
      </c>
    </row>
    <row r="42" spans="8:24" ht="12.75">
      <c r="H42" s="2"/>
      <c r="I42" s="12">
        <f t="shared" si="2"/>
      </c>
      <c r="J42" s="13">
        <f t="shared" si="0"/>
      </c>
      <c r="K42" s="4">
        <f t="shared" si="1"/>
      </c>
      <c r="M42" s="4">
        <v>0.65</v>
      </c>
      <c r="N42" s="4">
        <v>-999</v>
      </c>
      <c r="O42" s="4">
        <v>-999</v>
      </c>
      <c r="P42" s="4">
        <v>-999</v>
      </c>
      <c r="Q42" s="4">
        <v>0.6006</v>
      </c>
      <c r="R42" s="4">
        <v>0.5921</v>
      </c>
      <c r="S42" s="4">
        <v>0.5866</v>
      </c>
      <c r="T42" s="4">
        <v>0.5835</v>
      </c>
      <c r="U42" s="4">
        <v>0.5802</v>
      </c>
      <c r="V42" s="4">
        <v>0.577</v>
      </c>
      <c r="W42" s="4">
        <v>0.576</v>
      </c>
      <c r="X42" s="4">
        <v>0.576</v>
      </c>
    </row>
    <row r="43" spans="8:24" ht="12.75">
      <c r="H43" s="2"/>
      <c r="I43" s="12">
        <f t="shared" si="2"/>
      </c>
      <c r="J43" s="13">
        <f t="shared" si="0"/>
      </c>
      <c r="K43" s="4">
        <f t="shared" si="1"/>
      </c>
      <c r="M43" s="4">
        <v>0.7</v>
      </c>
      <c r="N43" s="4">
        <v>-999</v>
      </c>
      <c r="O43" s="4">
        <v>-999</v>
      </c>
      <c r="P43" s="4">
        <v>-999</v>
      </c>
      <c r="Q43" s="4">
        <v>-999</v>
      </c>
      <c r="R43" s="4">
        <v>0.596</v>
      </c>
      <c r="S43" s="4">
        <v>0.589</v>
      </c>
      <c r="T43" s="4">
        <v>0.5848</v>
      </c>
      <c r="U43" s="4">
        <v>0.5808</v>
      </c>
      <c r="V43" s="4">
        <v>0.5775</v>
      </c>
      <c r="W43" s="4">
        <v>0.576</v>
      </c>
      <c r="X43" s="4">
        <v>0.576</v>
      </c>
    </row>
    <row r="44" spans="8:24" ht="12.75">
      <c r="H44" s="2"/>
      <c r="I44" s="12">
        <f t="shared" si="2"/>
      </c>
      <c r="J44" s="13">
        <f t="shared" si="0"/>
      </c>
      <c r="K44" s="4">
        <f t="shared" si="1"/>
      </c>
      <c r="M44" s="4">
        <v>0.75</v>
      </c>
      <c r="N44" s="4">
        <v>-999</v>
      </c>
      <c r="O44" s="4">
        <v>-999</v>
      </c>
      <c r="P44" s="4">
        <v>-999</v>
      </c>
      <c r="Q44" s="4">
        <v>-999</v>
      </c>
      <c r="R44" s="4">
        <v>0.6</v>
      </c>
      <c r="S44" s="4">
        <v>0.5915</v>
      </c>
      <c r="T44" s="4">
        <v>0.5864</v>
      </c>
      <c r="U44" s="4">
        <v>0.5815</v>
      </c>
      <c r="V44" s="4">
        <v>0.5776</v>
      </c>
      <c r="W44" s="4">
        <v>0.576</v>
      </c>
      <c r="X44" s="4">
        <v>0.576</v>
      </c>
    </row>
    <row r="45" spans="8:24" ht="12.75">
      <c r="H45" s="2"/>
      <c r="I45" s="12">
        <f t="shared" si="2"/>
      </c>
      <c r="J45" s="13">
        <f t="shared" si="0"/>
      </c>
      <c r="K45" s="4">
        <f t="shared" si="1"/>
      </c>
      <c r="M45" s="4">
        <v>0.8</v>
      </c>
      <c r="N45" s="4">
        <v>-999</v>
      </c>
      <c r="O45" s="4">
        <v>-999</v>
      </c>
      <c r="P45" s="4">
        <v>-999</v>
      </c>
      <c r="Q45" s="4">
        <v>-999</v>
      </c>
      <c r="R45" s="4">
        <v>0.6044</v>
      </c>
      <c r="S45" s="4">
        <v>0.5945</v>
      </c>
      <c r="T45" s="4">
        <v>0.5885</v>
      </c>
      <c r="U45" s="4">
        <v>0.5826</v>
      </c>
      <c r="V45" s="4">
        <v>0.5783</v>
      </c>
      <c r="W45" s="4">
        <v>0.5759</v>
      </c>
      <c r="X45" s="4">
        <v>0.5759</v>
      </c>
    </row>
    <row r="46" spans="8:24" ht="12.75">
      <c r="H46" s="2"/>
      <c r="I46" s="12">
        <f t="shared" si="2"/>
      </c>
      <c r="J46" s="13">
        <f t="shared" si="0"/>
      </c>
      <c r="K46" s="4">
        <f t="shared" si="1"/>
      </c>
      <c r="M46" s="4">
        <v>0.85</v>
      </c>
      <c r="N46" s="4">
        <v>-999</v>
      </c>
      <c r="O46" s="4">
        <v>-999</v>
      </c>
      <c r="P46" s="4">
        <v>-999</v>
      </c>
      <c r="Q46" s="4">
        <v>-999</v>
      </c>
      <c r="R46" s="4">
        <v>-999</v>
      </c>
      <c r="S46" s="4">
        <v>0.5979</v>
      </c>
      <c r="T46" s="4">
        <v>0.59</v>
      </c>
      <c r="U46" s="4">
        <v>0.5838</v>
      </c>
      <c r="V46" s="4">
        <v>0.5788</v>
      </c>
      <c r="W46" s="4">
        <v>0.5757</v>
      </c>
      <c r="X46" s="4">
        <v>0.5757</v>
      </c>
    </row>
    <row r="47" spans="8:24" ht="12.75">
      <c r="H47" s="2"/>
      <c r="I47" s="12">
        <f t="shared" si="2"/>
      </c>
      <c r="J47" s="13">
        <f t="shared" si="0"/>
      </c>
      <c r="K47" s="4">
        <f t="shared" si="1"/>
      </c>
      <c r="M47" s="4">
        <v>0.9</v>
      </c>
      <c r="N47" s="4">
        <v>-999</v>
      </c>
      <c r="O47" s="4">
        <v>-999</v>
      </c>
      <c r="P47" s="4">
        <v>-999</v>
      </c>
      <c r="Q47" s="4">
        <v>-999</v>
      </c>
      <c r="R47" s="4">
        <v>-999</v>
      </c>
      <c r="S47" s="4">
        <v>0.6011</v>
      </c>
      <c r="T47" s="4">
        <v>0.592</v>
      </c>
      <c r="U47" s="4">
        <v>0.5849</v>
      </c>
      <c r="V47" s="4">
        <v>0.5793</v>
      </c>
      <c r="W47" s="4">
        <v>0.5757</v>
      </c>
      <c r="X47" s="4">
        <v>0.5757</v>
      </c>
    </row>
    <row r="48" spans="8:24" ht="12.75">
      <c r="H48" s="2"/>
      <c r="I48" s="12">
        <f t="shared" si="2"/>
      </c>
      <c r="J48" s="13">
        <f t="shared" si="0"/>
      </c>
      <c r="K48" s="4">
        <f t="shared" si="1"/>
      </c>
      <c r="M48" s="4">
        <v>0.95</v>
      </c>
      <c r="N48" s="4">
        <v>-999</v>
      </c>
      <c r="O48" s="4">
        <v>-999</v>
      </c>
      <c r="P48" s="4">
        <v>-999</v>
      </c>
      <c r="Q48" s="4">
        <v>-999</v>
      </c>
      <c r="R48" s="4">
        <v>-999</v>
      </c>
      <c r="S48" s="4">
        <v>0.6055</v>
      </c>
      <c r="T48" s="4">
        <v>0.5949</v>
      </c>
      <c r="U48" s="4">
        <v>0.586</v>
      </c>
      <c r="V48" s="4">
        <v>0.58</v>
      </c>
      <c r="W48" s="4">
        <v>0.5757</v>
      </c>
      <c r="X48" s="4">
        <v>0.5757</v>
      </c>
    </row>
    <row r="49" spans="8:24" ht="12.75">
      <c r="H49" s="2"/>
      <c r="I49" s="12">
        <f t="shared" si="2"/>
      </c>
      <c r="J49" s="13">
        <f t="shared" si="0"/>
      </c>
      <c r="K49" s="4">
        <f t="shared" si="1"/>
      </c>
      <c r="M49" s="4">
        <v>1</v>
      </c>
      <c r="N49" s="4">
        <v>-999</v>
      </c>
      <c r="O49" s="4">
        <v>-999</v>
      </c>
      <c r="P49" s="4">
        <v>-999</v>
      </c>
      <c r="Q49" s="4">
        <v>-999</v>
      </c>
      <c r="R49" s="4">
        <v>-999</v>
      </c>
      <c r="S49" s="4">
        <v>0.6104</v>
      </c>
      <c r="T49" s="4">
        <v>0.5979</v>
      </c>
      <c r="U49" s="4">
        <v>0.5879</v>
      </c>
      <c r="V49" s="4">
        <v>0.5805</v>
      </c>
      <c r="W49" s="4">
        <v>0.5757</v>
      </c>
      <c r="X49" s="4">
        <v>0.5757</v>
      </c>
    </row>
    <row r="50" spans="8:24" ht="12.75">
      <c r="H50" s="2"/>
      <c r="I50" s="12">
        <f t="shared" si="2"/>
      </c>
      <c r="J50" s="13">
        <f t="shared" si="0"/>
      </c>
      <c r="K50" s="4">
        <f t="shared" si="1"/>
      </c>
      <c r="M50" s="4">
        <v>1.05</v>
      </c>
      <c r="N50" s="4">
        <v>-999</v>
      </c>
      <c r="O50" s="4">
        <v>-999</v>
      </c>
      <c r="P50" s="4">
        <v>-999</v>
      </c>
      <c r="Q50" s="4">
        <v>-999</v>
      </c>
      <c r="R50" s="4">
        <v>-999</v>
      </c>
      <c r="S50" s="4">
        <v>-999</v>
      </c>
      <c r="T50" s="4">
        <v>0.6009</v>
      </c>
      <c r="U50" s="4">
        <v>0.5889</v>
      </c>
      <c r="V50" s="4">
        <v>0.581</v>
      </c>
      <c r="W50" s="4">
        <v>0.5758</v>
      </c>
      <c r="X50" s="4">
        <v>0.5757</v>
      </c>
    </row>
    <row r="51" spans="8:24" ht="12.75">
      <c r="H51" s="2"/>
      <c r="I51" s="12">
        <f t="shared" si="2"/>
      </c>
      <c r="J51" s="13">
        <f t="shared" si="0"/>
      </c>
      <c r="K51" s="4">
        <f t="shared" si="1"/>
      </c>
      <c r="M51" s="4">
        <v>1.1</v>
      </c>
      <c r="N51" s="4">
        <v>-999</v>
      </c>
      <c r="O51" s="4">
        <v>-999</v>
      </c>
      <c r="P51" s="4">
        <v>-999</v>
      </c>
      <c r="Q51" s="4">
        <v>-999</v>
      </c>
      <c r="R51" s="4">
        <v>-999</v>
      </c>
      <c r="S51" s="4">
        <v>-999</v>
      </c>
      <c r="T51" s="4">
        <v>0.6042</v>
      </c>
      <c r="U51" s="4">
        <v>0.59</v>
      </c>
      <c r="V51" s="4">
        <v>0.582</v>
      </c>
      <c r="W51" s="4">
        <v>0.5759</v>
      </c>
      <c r="X51" s="4">
        <v>0.5757</v>
      </c>
    </row>
    <row r="52" spans="8:24" ht="12.75">
      <c r="H52" s="2"/>
      <c r="I52" s="12">
        <f t="shared" si="2"/>
      </c>
      <c r="J52" s="13">
        <f t="shared" si="0"/>
      </c>
      <c r="K52" s="4">
        <f t="shared" si="1"/>
      </c>
      <c r="M52" s="4">
        <v>1.15</v>
      </c>
      <c r="N52" s="4">
        <v>-999</v>
      </c>
      <c r="O52" s="4">
        <v>-999</v>
      </c>
      <c r="P52" s="4">
        <v>-999</v>
      </c>
      <c r="Q52" s="4">
        <v>-999</v>
      </c>
      <c r="R52" s="4">
        <v>-999</v>
      </c>
      <c r="S52" s="4">
        <v>-999</v>
      </c>
      <c r="T52" s="4">
        <v>0.608</v>
      </c>
      <c r="U52" s="4">
        <v>0.592</v>
      </c>
      <c r="V52" s="4">
        <v>0.5828</v>
      </c>
      <c r="W52" s="4">
        <v>0.5759</v>
      </c>
      <c r="X52" s="4">
        <v>0.5757</v>
      </c>
    </row>
    <row r="53" spans="8:24" ht="12.75">
      <c r="H53" s="2"/>
      <c r="I53" s="12">
        <f t="shared" si="2"/>
      </c>
      <c r="J53" s="13">
        <f t="shared" si="0"/>
      </c>
      <c r="K53" s="4">
        <f t="shared" si="1"/>
      </c>
      <c r="M53" s="4">
        <v>1.2</v>
      </c>
      <c r="N53" s="4">
        <v>-999</v>
      </c>
      <c r="O53" s="4">
        <v>-999</v>
      </c>
      <c r="P53" s="4">
        <v>-999</v>
      </c>
      <c r="Q53" s="4">
        <v>-999</v>
      </c>
      <c r="R53" s="4">
        <v>-999</v>
      </c>
      <c r="S53" s="4">
        <v>-999</v>
      </c>
      <c r="T53" s="27">
        <v>0.6123</v>
      </c>
      <c r="U53" s="4">
        <v>0.5938</v>
      </c>
      <c r="V53" s="4">
        <v>0.5835</v>
      </c>
      <c r="W53" s="4">
        <v>0.576</v>
      </c>
      <c r="X53" s="4">
        <v>0.5757</v>
      </c>
    </row>
    <row r="54" spans="8:24" ht="12.75">
      <c r="H54" s="2"/>
      <c r="I54" s="12">
        <f t="shared" si="2"/>
      </c>
      <c r="J54" s="13">
        <f t="shared" si="0"/>
      </c>
      <c r="K54" s="4">
        <f t="shared" si="1"/>
      </c>
      <c r="M54" s="4">
        <v>1.25</v>
      </c>
      <c r="N54" s="4">
        <v>-999</v>
      </c>
      <c r="O54" s="4">
        <v>-999</v>
      </c>
      <c r="P54" s="4">
        <v>-999</v>
      </c>
      <c r="Q54" s="4">
        <v>-999</v>
      </c>
      <c r="R54" s="4">
        <v>-999</v>
      </c>
      <c r="S54" s="4">
        <v>-999</v>
      </c>
      <c r="T54" s="4">
        <v>-999</v>
      </c>
      <c r="U54" s="4">
        <v>0.5955</v>
      </c>
      <c r="V54" s="4">
        <v>0.5845</v>
      </c>
      <c r="W54" s="4">
        <v>0.5761</v>
      </c>
      <c r="X54" s="4">
        <v>0.5757</v>
      </c>
    </row>
    <row r="55" spans="8:24" ht="12.75">
      <c r="H55" s="2"/>
      <c r="I55" s="12">
        <f t="shared" si="2"/>
      </c>
      <c r="J55" s="13">
        <f t="shared" si="0"/>
      </c>
      <c r="K55" s="4">
        <f t="shared" si="1"/>
      </c>
      <c r="M55" s="4">
        <v>1.3</v>
      </c>
      <c r="N55" s="4">
        <v>-999</v>
      </c>
      <c r="O55" s="4">
        <v>-999</v>
      </c>
      <c r="P55" s="4">
        <v>-999</v>
      </c>
      <c r="Q55" s="4">
        <v>-999</v>
      </c>
      <c r="R55" s="4">
        <v>-999</v>
      </c>
      <c r="S55" s="4">
        <v>-999</v>
      </c>
      <c r="T55" s="4">
        <v>-999</v>
      </c>
      <c r="U55" s="4">
        <v>0.5975</v>
      </c>
      <c r="V55" s="27">
        <v>0.5854</v>
      </c>
      <c r="W55" s="4">
        <v>0.5763</v>
      </c>
      <c r="X55" s="4">
        <v>0.5757</v>
      </c>
    </row>
    <row r="56" spans="8:24" ht="12.75">
      <c r="H56" s="2"/>
      <c r="I56" s="12">
        <f t="shared" si="2"/>
      </c>
      <c r="J56" s="13">
        <f t="shared" si="0"/>
      </c>
      <c r="K56" s="4">
        <f t="shared" si="1"/>
      </c>
      <c r="M56" s="4">
        <v>1.35</v>
      </c>
      <c r="N56" s="4">
        <v>-999</v>
      </c>
      <c r="O56" s="4">
        <v>-999</v>
      </c>
      <c r="P56" s="4">
        <v>-999</v>
      </c>
      <c r="Q56" s="4">
        <v>-999</v>
      </c>
      <c r="R56" s="4">
        <v>-999</v>
      </c>
      <c r="S56" s="4">
        <v>-999</v>
      </c>
      <c r="T56" s="4">
        <v>-999</v>
      </c>
      <c r="U56" s="4">
        <v>0.5993</v>
      </c>
      <c r="V56" s="4">
        <v>0.5864</v>
      </c>
      <c r="W56" s="4">
        <v>0.5765</v>
      </c>
      <c r="X56" s="4">
        <v>0.5757</v>
      </c>
    </row>
    <row r="57" spans="8:24" ht="12.75">
      <c r="H57" s="2"/>
      <c r="I57" s="12">
        <f t="shared" si="2"/>
      </c>
      <c r="J57" s="13">
        <f t="shared" si="0"/>
      </c>
      <c r="K57" s="4">
        <f t="shared" si="1"/>
      </c>
      <c r="M57" s="4">
        <v>1.4</v>
      </c>
      <c r="N57" s="4">
        <v>-999</v>
      </c>
      <c r="O57" s="4">
        <v>-999</v>
      </c>
      <c r="P57" s="4">
        <v>-999</v>
      </c>
      <c r="Q57" s="4">
        <v>-999</v>
      </c>
      <c r="R57" s="4">
        <v>-999</v>
      </c>
      <c r="S57" s="4">
        <v>-999</v>
      </c>
      <c r="T57" s="4">
        <v>-999</v>
      </c>
      <c r="U57" s="4">
        <v>0.601</v>
      </c>
      <c r="V57" s="4">
        <v>0.5874</v>
      </c>
      <c r="W57" s="4">
        <v>0.5767</v>
      </c>
      <c r="X57" s="4">
        <v>0.5757</v>
      </c>
    </row>
    <row r="58" spans="8:24" ht="12.75">
      <c r="H58" s="2"/>
      <c r="I58" s="12">
        <f t="shared" si="2"/>
      </c>
      <c r="J58" s="13">
        <f t="shared" si="0"/>
      </c>
      <c r="K58" s="4">
        <f t="shared" si="1"/>
      </c>
      <c r="M58" s="4">
        <v>1.45</v>
      </c>
      <c r="N58" s="4">
        <v>-999</v>
      </c>
      <c r="O58" s="4">
        <v>-999</v>
      </c>
      <c r="P58" s="4">
        <v>-999</v>
      </c>
      <c r="Q58" s="4">
        <v>-999</v>
      </c>
      <c r="R58" s="4">
        <v>-999</v>
      </c>
      <c r="S58" s="4">
        <v>-999</v>
      </c>
      <c r="T58" s="4">
        <v>-999</v>
      </c>
      <c r="U58" s="4">
        <v>0.603</v>
      </c>
      <c r="V58" s="4">
        <v>0.5885</v>
      </c>
      <c r="W58" s="4">
        <v>0.5769000000000001</v>
      </c>
      <c r="X58" s="4">
        <v>0.5757</v>
      </c>
    </row>
    <row r="59" spans="8:24" ht="12.75">
      <c r="H59" s="2"/>
      <c r="I59" s="12">
        <f t="shared" si="2"/>
      </c>
      <c r="J59" s="13">
        <f t="shared" si="0"/>
      </c>
      <c r="K59" s="4">
        <f t="shared" si="1"/>
      </c>
      <c r="M59" s="4">
        <v>1.5</v>
      </c>
      <c r="N59" s="4">
        <v>-999</v>
      </c>
      <c r="O59" s="4">
        <v>-999</v>
      </c>
      <c r="P59" s="4">
        <v>-999</v>
      </c>
      <c r="Q59" s="4">
        <v>-999</v>
      </c>
      <c r="R59" s="4">
        <v>-999</v>
      </c>
      <c r="S59" s="4">
        <v>-999</v>
      </c>
      <c r="T59" s="4">
        <v>-999</v>
      </c>
      <c r="U59" s="4">
        <v>0.6053</v>
      </c>
      <c r="V59" s="4">
        <v>0.5896</v>
      </c>
      <c r="W59" s="4">
        <v>0.5771000000000001</v>
      </c>
      <c r="X59" s="4">
        <v>0.5757</v>
      </c>
    </row>
    <row r="60" spans="8:24" ht="12.75">
      <c r="H60" s="2"/>
      <c r="I60" s="12">
        <f t="shared" si="2"/>
      </c>
      <c r="J60" s="13">
        <f t="shared" si="0"/>
      </c>
      <c r="K60" s="4">
        <f t="shared" si="1"/>
      </c>
      <c r="M60" s="4">
        <v>1.55</v>
      </c>
      <c r="N60" s="4">
        <v>-999</v>
      </c>
      <c r="O60" s="4">
        <v>-999</v>
      </c>
      <c r="P60" s="4">
        <v>-999</v>
      </c>
      <c r="Q60" s="4">
        <v>-999</v>
      </c>
      <c r="R60" s="4">
        <v>-999</v>
      </c>
      <c r="S60" s="4">
        <v>-999</v>
      </c>
      <c r="T60" s="4">
        <v>-999</v>
      </c>
      <c r="U60" s="27">
        <v>0.6075</v>
      </c>
      <c r="V60" s="4">
        <v>0.5905</v>
      </c>
      <c r="W60" s="4">
        <v>0.5773</v>
      </c>
      <c r="X60" s="4">
        <v>0.5757</v>
      </c>
    </row>
    <row r="61" spans="8:24" ht="12.75">
      <c r="H61" s="2"/>
      <c r="I61" s="12">
        <f t="shared" si="2"/>
      </c>
      <c r="J61" s="13">
        <f t="shared" si="0"/>
      </c>
      <c r="K61" s="4">
        <f t="shared" si="1"/>
      </c>
      <c r="M61" s="4">
        <v>1.6</v>
      </c>
      <c r="N61" s="4">
        <v>-999</v>
      </c>
      <c r="O61" s="4">
        <v>-999</v>
      </c>
      <c r="P61" s="4">
        <v>-999</v>
      </c>
      <c r="Q61" s="4">
        <v>-999</v>
      </c>
      <c r="R61" s="4">
        <v>-999</v>
      </c>
      <c r="S61" s="4">
        <v>-999</v>
      </c>
      <c r="T61" s="4">
        <v>-999</v>
      </c>
      <c r="U61" s="4">
        <v>-999</v>
      </c>
      <c r="V61" s="4">
        <v>0.5918</v>
      </c>
      <c r="W61" s="4">
        <v>0.5775</v>
      </c>
      <c r="X61" s="4">
        <v>0.5757</v>
      </c>
    </row>
    <row r="62" spans="8:24" ht="12.75">
      <c r="H62" s="2"/>
      <c r="I62" s="12">
        <f t="shared" si="2"/>
      </c>
      <c r="J62" s="13">
        <f t="shared" si="0"/>
      </c>
      <c r="K62" s="4">
        <f t="shared" si="1"/>
      </c>
      <c r="M62" s="4">
        <v>1.65</v>
      </c>
      <c r="N62" s="4">
        <v>-999</v>
      </c>
      <c r="O62" s="4">
        <v>-999</v>
      </c>
      <c r="P62" s="4">
        <v>-999</v>
      </c>
      <c r="Q62" s="4">
        <v>-999</v>
      </c>
      <c r="R62" s="4">
        <v>-999</v>
      </c>
      <c r="S62" s="4">
        <v>-999</v>
      </c>
      <c r="T62" s="4">
        <v>-999</v>
      </c>
      <c r="U62" s="4">
        <v>-999</v>
      </c>
      <c r="V62" s="4">
        <v>0.5931</v>
      </c>
      <c r="W62" s="4">
        <v>0.5780000000000001</v>
      </c>
      <c r="X62" s="4">
        <v>0.5757</v>
      </c>
    </row>
    <row r="63" spans="9:24" ht="12.75">
      <c r="I63" s="12">
        <f t="shared" si="2"/>
      </c>
      <c r="J63" s="13">
        <f t="shared" si="0"/>
      </c>
      <c r="K63" s="4">
        <f t="shared" si="1"/>
      </c>
      <c r="M63" s="4">
        <v>1.7</v>
      </c>
      <c r="N63" s="4">
        <v>-999</v>
      </c>
      <c r="O63" s="4">
        <v>-999</v>
      </c>
      <c r="P63" s="4">
        <v>-999</v>
      </c>
      <c r="Q63" s="4">
        <v>-999</v>
      </c>
      <c r="R63" s="4">
        <v>-999</v>
      </c>
      <c r="S63" s="4">
        <v>-999</v>
      </c>
      <c r="T63" s="4">
        <v>-999</v>
      </c>
      <c r="U63" s="4">
        <v>-999</v>
      </c>
      <c r="V63" s="4">
        <v>0.5945</v>
      </c>
      <c r="W63" s="4">
        <v>0.5783</v>
      </c>
      <c r="X63" s="4">
        <v>0.5757</v>
      </c>
    </row>
    <row r="64" spans="9:24" ht="12.75">
      <c r="I64" s="12">
        <f t="shared" si="2"/>
      </c>
      <c r="J64" s="13">
        <f t="shared" si="0"/>
      </c>
      <c r="K64" s="4">
        <f t="shared" si="1"/>
      </c>
      <c r="M64" s="4">
        <v>1.75</v>
      </c>
      <c r="N64" s="4">
        <v>-999</v>
      </c>
      <c r="O64" s="4">
        <v>-999</v>
      </c>
      <c r="P64" s="4">
        <v>-999</v>
      </c>
      <c r="Q64" s="4">
        <v>-999</v>
      </c>
      <c r="R64" s="4">
        <v>-999</v>
      </c>
      <c r="S64" s="4">
        <v>-999</v>
      </c>
      <c r="T64" s="4">
        <v>-999</v>
      </c>
      <c r="U64" s="4">
        <v>-999</v>
      </c>
      <c r="V64" s="4">
        <v>0.596</v>
      </c>
      <c r="W64" s="4">
        <v>0.5789</v>
      </c>
      <c r="X64" s="4">
        <v>0.5757</v>
      </c>
    </row>
    <row r="65" spans="9:24" ht="12.75">
      <c r="I65" s="12">
        <f t="shared" si="2"/>
      </c>
      <c r="J65" s="13">
        <f t="shared" si="0"/>
      </c>
      <c r="K65" s="4">
        <f t="shared" si="1"/>
      </c>
      <c r="M65" s="4">
        <v>1.8</v>
      </c>
      <c r="N65" s="4">
        <v>-999</v>
      </c>
      <c r="O65" s="4">
        <v>-999</v>
      </c>
      <c r="P65" s="4">
        <v>-999</v>
      </c>
      <c r="Q65" s="4">
        <v>-999</v>
      </c>
      <c r="R65" s="4">
        <v>-999</v>
      </c>
      <c r="S65" s="4">
        <v>-999</v>
      </c>
      <c r="T65" s="4">
        <v>-999</v>
      </c>
      <c r="U65" s="4">
        <v>-999</v>
      </c>
      <c r="V65" s="4">
        <v>0.5975</v>
      </c>
      <c r="W65" s="4">
        <v>0.5794</v>
      </c>
      <c r="X65" s="4">
        <v>0.5757</v>
      </c>
    </row>
    <row r="66" spans="9:24" ht="12.75">
      <c r="I66" s="12">
        <f t="shared" si="2"/>
      </c>
      <c r="J66" s="13">
        <f t="shared" si="0"/>
      </c>
      <c r="K66" s="4">
        <f t="shared" si="1"/>
      </c>
      <c r="M66" s="4">
        <v>1.85</v>
      </c>
      <c r="N66" s="4">
        <v>-999</v>
      </c>
      <c r="O66" s="4">
        <v>-999</v>
      </c>
      <c r="P66" s="4">
        <v>-999</v>
      </c>
      <c r="Q66" s="4">
        <v>-999</v>
      </c>
      <c r="R66" s="4">
        <v>-999</v>
      </c>
      <c r="S66" s="4">
        <v>-999</v>
      </c>
      <c r="T66" s="4">
        <v>-999</v>
      </c>
      <c r="U66" s="4">
        <v>-999</v>
      </c>
      <c r="V66" s="4">
        <v>0.5993</v>
      </c>
      <c r="W66" s="4">
        <v>0.5799</v>
      </c>
      <c r="X66" s="4">
        <v>0.5757</v>
      </c>
    </row>
    <row r="67" spans="9:24" ht="12.75">
      <c r="I67" s="12">
        <f t="shared" si="2"/>
      </c>
      <c r="J67" s="13">
        <f t="shared" si="0"/>
      </c>
      <c r="K67" s="4">
        <f t="shared" si="1"/>
      </c>
      <c r="M67" s="4">
        <v>20</v>
      </c>
      <c r="N67" s="4">
        <v>-999</v>
      </c>
      <c r="O67" s="4">
        <v>-999</v>
      </c>
      <c r="P67" s="4">
        <v>-999</v>
      </c>
      <c r="Q67" s="4">
        <v>-999</v>
      </c>
      <c r="R67" s="4">
        <v>-999</v>
      </c>
      <c r="S67" s="4">
        <v>-999</v>
      </c>
      <c r="T67" s="4">
        <v>-999</v>
      </c>
      <c r="U67" s="4">
        <v>-999</v>
      </c>
      <c r="V67" s="4">
        <v>-999</v>
      </c>
      <c r="W67" s="4">
        <v>-999</v>
      </c>
      <c r="X67" s="4">
        <v>-999</v>
      </c>
    </row>
    <row r="68" spans="9:11" ht="12.75">
      <c r="I68" s="12">
        <f t="shared" si="2"/>
      </c>
      <c r="J68" s="13">
        <f aca="true" t="shared" si="3" ref="J68:J100">IF(H68&gt;0,IF(H68&lt;$B$12,"Ekki er hægt að reikna rennsli fyrir svo lága vatnshæð",IF(AND(H68&lt;$B$16+0.01,$B$8&gt;44.99,$B$4&gt;0.8999),"",IF(AND(H68&lt;$B$13+0.01,$B$8&gt;9.99,$B$4&gt;0.5999,($B$11-90)&lt;2,(90-$B$11)&lt;2,(VLOOKUP(H68/$B$8,$M$31:$X$67,2+10*(1-$B$22),TRUE)+(VLOOKUP(H68/$B$8,$M$31:$X$67,2+10*(1.1-$B$22),TRUE)-VLOOKUP(H68/$B$8,$M$31:$X$67,2+10*(1-$B$22),TRUE))*($B$22-INT($B$22/0.1)*0.1)/0.1+(VLOOKUP(H68/$B$8+0.05,$M$31:$X$67,2+10*(1-$B$22),TRUE)-VLOOKUP(H68/$B$8,$M$31:$X$67,2+10*(1-$B$22),TRUE))*(H68/$B$8-INT((H68/$B$8)/0.05)*0.05)/0.05)&gt;0),"","Ekki er hægt að reikna rennsli fyrir þessa vatnshæð"))),"")</f>
      </c>
      <c r="K68" s="4">
        <f aca="true" t="shared" si="4" ref="K68:K100">IF(H68&gt;0,IF(H68&lt;$B$12,"",IF(AND(H68&lt;$B$16+0.01,$B$8&gt;44.99,$B$4&gt;0.8999),"Fully contracted",IF(AND(H68&lt;$B$13+0.01,$B$8&gt;9.99,$B$4&gt;0.5999,($B$11-90)&lt;2,(90-$B$11)&lt;2,(VLOOKUP(H68/$B$8,$M$31:$X$67,2+10*(1-$B$22),TRUE)+(VLOOKUP(H68/$B$8,$M$31:$X$67,2+10*(1.1-$B$22),TRUE)-VLOOKUP(H68/$B$8,$M$31:$X$67,2+10*(1-$B$22),TRUE))*($B$22-INT($B$22/0.1)*0.1)/0.1+(VLOOKUP(H68/$B$8+0.05,$M$31:$X$67,2+10*(1-$B$22),TRUE)-VLOOKUP(H68/$B$8,$M$31:$X$67,2+10*(1-$B$22),TRUE))*(H68/$B$8-INT((H68/$B$8)/0.05)*0.05)/0.05)&gt;0),"Partially contracted",""))),"")</f>
      </c>
    </row>
    <row r="69" spans="9:11" ht="12.75">
      <c r="I69" s="12">
        <f aca="true" t="shared" si="5" ref="I69:I99">IF(AND(A$24="",A$25="",A$26="",A$27="",A$28=""),IF(K69="Fully contracted",($B$21*8/15*(2*9.81)^0.5*TAN($B$11*PI()/360)*(H69/100+$B$20/1000)^2.5)*1000,IF(K69="Partially contracted",((VLOOKUP(H69/$B$8,$M$31:$X$67,2+10*(1-$B$22),TRUE)+(VLOOKUP(H69/$B$8,$M$31:$X$67,2+10*(1.1-$B$22),TRUE)-VLOOKUP(H69/$B$8,$M$31:$X$67,2+10*(1-$B$22),TRUE))*($B$22-INT($B$22/0.1)*0.1)/0.1+(VLOOKUP(H69/$B$8+0.05,$M$31:$X$67,2+10*(1-$B$22),TRUE)-VLOOKUP(H69/$B$8,$M$31:$X$67,2+10*(1-$B$22),TRUE))*(H69/$B$8-INT((H69/$B$8)/0.05)*0.05)/0.05)*8/15*(2*9.81)^0.5*TAN($B$11*PI()/360)*(H69/100+$B$20/1000)^2.5)*1000,"")),"")</f>
      </c>
      <c r="J69" s="13">
        <f t="shared" si="3"/>
      </c>
      <c r="K69" s="4">
        <f t="shared" si="4"/>
      </c>
    </row>
    <row r="70" spans="9:11" ht="12.75">
      <c r="I70" s="12">
        <f t="shared" si="5"/>
      </c>
      <c r="J70" s="13">
        <f t="shared" si="3"/>
      </c>
      <c r="K70" s="4">
        <f t="shared" si="4"/>
      </c>
    </row>
    <row r="71" spans="9:11" ht="12.75">
      <c r="I71" s="12">
        <f t="shared" si="5"/>
      </c>
      <c r="J71" s="13">
        <f t="shared" si="3"/>
      </c>
      <c r="K71" s="4">
        <f t="shared" si="4"/>
      </c>
    </row>
    <row r="72" spans="9:11" ht="12.75">
      <c r="I72" s="12">
        <f t="shared" si="5"/>
      </c>
      <c r="J72" s="13">
        <f t="shared" si="3"/>
      </c>
      <c r="K72" s="4">
        <f t="shared" si="4"/>
      </c>
    </row>
    <row r="73" spans="9:11" ht="12.75">
      <c r="I73" s="12">
        <f t="shared" si="5"/>
      </c>
      <c r="J73" s="13">
        <f t="shared" si="3"/>
      </c>
      <c r="K73" s="4">
        <f t="shared" si="4"/>
      </c>
    </row>
    <row r="74" spans="9:11" ht="12.75">
      <c r="I74" s="12">
        <f t="shared" si="5"/>
      </c>
      <c r="J74" s="13">
        <f t="shared" si="3"/>
      </c>
      <c r="K74" s="4">
        <f t="shared" si="4"/>
      </c>
    </row>
    <row r="75" spans="9:11" ht="12.75">
      <c r="I75" s="12">
        <f t="shared" si="5"/>
      </c>
      <c r="J75" s="13">
        <f t="shared" si="3"/>
      </c>
      <c r="K75" s="4">
        <f t="shared" si="4"/>
      </c>
    </row>
    <row r="76" spans="9:11" ht="12.75">
      <c r="I76" s="12">
        <f t="shared" si="5"/>
      </c>
      <c r="J76" s="13">
        <f t="shared" si="3"/>
      </c>
      <c r="K76" s="4">
        <f t="shared" si="4"/>
      </c>
    </row>
    <row r="77" spans="9:11" ht="12.75">
      <c r="I77" s="12">
        <f t="shared" si="5"/>
      </c>
      <c r="J77" s="13">
        <f t="shared" si="3"/>
      </c>
      <c r="K77" s="4">
        <f t="shared" si="4"/>
      </c>
    </row>
    <row r="78" spans="9:11" ht="12.75">
      <c r="I78" s="12">
        <f t="shared" si="5"/>
      </c>
      <c r="J78" s="13">
        <f t="shared" si="3"/>
      </c>
      <c r="K78" s="4">
        <f t="shared" si="4"/>
      </c>
    </row>
    <row r="79" spans="9:11" ht="12.75">
      <c r="I79" s="12">
        <f t="shared" si="5"/>
      </c>
      <c r="J79" s="13">
        <f t="shared" si="3"/>
      </c>
      <c r="K79" s="4">
        <f t="shared" si="4"/>
      </c>
    </row>
    <row r="80" spans="9:11" ht="12.75">
      <c r="I80" s="12">
        <f t="shared" si="5"/>
      </c>
      <c r="J80" s="13">
        <f t="shared" si="3"/>
      </c>
      <c r="K80" s="4">
        <f t="shared" si="4"/>
      </c>
    </row>
    <row r="81" spans="9:11" ht="12.75">
      <c r="I81" s="12">
        <f t="shared" si="5"/>
      </c>
      <c r="J81" s="13">
        <f t="shared" si="3"/>
      </c>
      <c r="K81" s="4">
        <f t="shared" si="4"/>
      </c>
    </row>
    <row r="82" spans="9:11" ht="12.75">
      <c r="I82" s="12">
        <f t="shared" si="5"/>
      </c>
      <c r="J82" s="13">
        <f t="shared" si="3"/>
      </c>
      <c r="K82" s="4">
        <f t="shared" si="4"/>
      </c>
    </row>
    <row r="83" spans="9:11" ht="12.75">
      <c r="I83" s="12">
        <f t="shared" si="5"/>
      </c>
      <c r="J83" s="13">
        <f t="shared" si="3"/>
      </c>
      <c r="K83" s="4">
        <f t="shared" si="4"/>
      </c>
    </row>
    <row r="84" spans="9:11" ht="12.75">
      <c r="I84" s="12">
        <f t="shared" si="5"/>
      </c>
      <c r="J84" s="13">
        <f t="shared" si="3"/>
      </c>
      <c r="K84" s="4">
        <f t="shared" si="4"/>
      </c>
    </row>
    <row r="85" spans="9:11" ht="12.75">
      <c r="I85" s="12">
        <f t="shared" si="5"/>
      </c>
      <c r="J85" s="13">
        <f t="shared" si="3"/>
      </c>
      <c r="K85" s="4">
        <f t="shared" si="4"/>
      </c>
    </row>
    <row r="86" spans="9:11" ht="12.75">
      <c r="I86" s="12">
        <f t="shared" si="5"/>
      </c>
      <c r="J86" s="13">
        <f t="shared" si="3"/>
      </c>
      <c r="K86" s="4">
        <f t="shared" si="4"/>
      </c>
    </row>
    <row r="87" spans="9:11" ht="12.75">
      <c r="I87" s="12">
        <f t="shared" si="5"/>
      </c>
      <c r="J87" s="13">
        <f t="shared" si="3"/>
      </c>
      <c r="K87" s="4">
        <f t="shared" si="4"/>
      </c>
    </row>
    <row r="88" spans="9:11" ht="12.75">
      <c r="I88" s="12">
        <f t="shared" si="5"/>
      </c>
      <c r="J88" s="13">
        <f t="shared" si="3"/>
      </c>
      <c r="K88" s="4">
        <f t="shared" si="4"/>
      </c>
    </row>
    <row r="89" spans="9:11" ht="12.75">
      <c r="I89" s="12">
        <f t="shared" si="5"/>
      </c>
      <c r="J89" s="13">
        <f t="shared" si="3"/>
      </c>
      <c r="K89" s="4">
        <f t="shared" si="4"/>
      </c>
    </row>
    <row r="90" spans="9:11" ht="12.75">
      <c r="I90" s="12">
        <f t="shared" si="5"/>
      </c>
      <c r="J90" s="13">
        <f t="shared" si="3"/>
      </c>
      <c r="K90" s="4">
        <f t="shared" si="4"/>
      </c>
    </row>
    <row r="91" spans="9:11" ht="12.75">
      <c r="I91" s="12">
        <f t="shared" si="5"/>
      </c>
      <c r="J91" s="13">
        <f t="shared" si="3"/>
      </c>
      <c r="K91" s="4">
        <f t="shared" si="4"/>
      </c>
    </row>
    <row r="92" spans="9:11" ht="12.75">
      <c r="I92" s="12">
        <f t="shared" si="5"/>
      </c>
      <c r="J92" s="13">
        <f t="shared" si="3"/>
      </c>
      <c r="K92" s="4">
        <f t="shared" si="4"/>
      </c>
    </row>
    <row r="93" spans="9:11" ht="12.75">
      <c r="I93" s="12">
        <f t="shared" si="5"/>
      </c>
      <c r="J93" s="13">
        <f t="shared" si="3"/>
      </c>
      <c r="K93" s="4">
        <f t="shared" si="4"/>
      </c>
    </row>
    <row r="94" spans="9:11" ht="12.75">
      <c r="I94" s="12">
        <f t="shared" si="5"/>
      </c>
      <c r="J94" s="13">
        <f t="shared" si="3"/>
      </c>
      <c r="K94" s="4">
        <f t="shared" si="4"/>
      </c>
    </row>
    <row r="95" spans="9:11" ht="12.75">
      <c r="I95" s="12">
        <f t="shared" si="5"/>
      </c>
      <c r="J95" s="13">
        <f t="shared" si="3"/>
      </c>
      <c r="K95" s="4">
        <f t="shared" si="4"/>
      </c>
    </row>
    <row r="96" spans="9:11" ht="12.75">
      <c r="I96" s="12">
        <f t="shared" si="5"/>
      </c>
      <c r="J96" s="13">
        <f t="shared" si="3"/>
      </c>
      <c r="K96" s="4">
        <f t="shared" si="4"/>
      </c>
    </row>
    <row r="97" spans="9:11" ht="12.75">
      <c r="I97" s="12">
        <f t="shared" si="5"/>
      </c>
      <c r="J97" s="13">
        <f t="shared" si="3"/>
      </c>
      <c r="K97" s="4">
        <f t="shared" si="4"/>
      </c>
    </row>
    <row r="98" spans="9:11" ht="12.75">
      <c r="I98" s="12">
        <f t="shared" si="5"/>
      </c>
      <c r="J98" s="13">
        <f t="shared" si="3"/>
      </c>
      <c r="K98" s="4">
        <f t="shared" si="4"/>
      </c>
    </row>
    <row r="99" spans="9:11" ht="12.75">
      <c r="I99" s="12">
        <f t="shared" si="5"/>
      </c>
      <c r="J99" s="13">
        <f t="shared" si="3"/>
      </c>
      <c r="K99" s="4">
        <f t="shared" si="4"/>
      </c>
    </row>
    <row r="100" spans="9:11" ht="12.75">
      <c r="I100" s="12">
        <f>IF(K100="Fully contracted",($B$21*8/15*(2*9.81)^0.5*TAN($B$11*PI()/360)*(H100/100+$B$20/1000)^2.5)*1000,IF(K100="Partially contracted",((VLOOKUP(H100/$B$8,$M$31:$X$67,2+10*(1-$B$22),TRUE)+(VLOOKUP(H100/$B$8,$M$31:$X$67,2+10*(1.1-$B$22),TRUE)-VLOOKUP(H100/$B$8,$M$31:$X$67,2+10*(1-$B$22),TRUE))*($B$22-INT($B$22/0.1)*0.1)/0.1+(VLOOKUP(H100/$B$8+0.05,$M$31:$X$67,2+10*(1-$B$22),TRUE)-VLOOKUP(H100/$B$8,$M$31:$X$67,2+10*(1-$B$22),TRUE))*(H100/$B$8-INT((H100/$B$8)/0.05)*0.05)/0.05)*8/15*(2*9.81)^0.5*TAN($B$11*PI()/360)*(H100/100+$B$20/1000)^2.5)*1000,""))</f>
      </c>
      <c r="J100" s="13">
        <f t="shared" si="3"/>
      </c>
      <c r="K100" s="4">
        <f t="shared" si="4"/>
      </c>
    </row>
  </sheetData>
  <sheetProtection password="F639"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99"/>
  <sheetViews>
    <sheetView zoomScalePageLayoutView="0" workbookViewId="0" topLeftCell="A1">
      <selection activeCell="F1" sqref="F1"/>
    </sheetView>
  </sheetViews>
  <sheetFormatPr defaultColWidth="9.140625" defaultRowHeight="12.75"/>
  <cols>
    <col min="1" max="1" width="51.8515625" style="0" bestFit="1" customWidth="1"/>
    <col min="4" max="4" width="12.8515625" style="2" customWidth="1"/>
    <col min="5" max="5" width="9.57421875" style="2" customWidth="1"/>
    <col min="6" max="6" width="28.00390625" style="9" bestFit="1" customWidth="1"/>
    <col min="7" max="7" width="25.00390625" style="9" bestFit="1" customWidth="1"/>
    <col min="8" max="8" width="22.57421875" style="2" customWidth="1"/>
    <col min="9" max="9" width="16.28125" style="3" customWidth="1"/>
    <col min="10" max="10" width="48.57421875" style="0" bestFit="1" customWidth="1"/>
    <col min="11" max="11" width="10.57421875" style="0" bestFit="1" customWidth="1"/>
    <col min="13" max="13" width="16.7109375" style="0" customWidth="1"/>
  </cols>
  <sheetData>
    <row r="1" spans="1:8" ht="13.5">
      <c r="A1" s="1" t="s">
        <v>51</v>
      </c>
      <c r="D1" s="41" t="s">
        <v>1</v>
      </c>
      <c r="E1" s="7"/>
      <c r="F1" s="2"/>
      <c r="G1" s="7"/>
      <c r="H1" s="40"/>
    </row>
    <row r="2" spans="4:11" ht="12.75">
      <c r="D2" s="7"/>
      <c r="E2" s="7"/>
      <c r="F2" s="7"/>
      <c r="G2" s="7"/>
      <c r="H2" s="7"/>
      <c r="K2" s="28"/>
    </row>
    <row r="3" spans="1:11" ht="12.75">
      <c r="A3" s="5" t="s">
        <v>2</v>
      </c>
      <c r="D3" s="7" t="s">
        <v>3</v>
      </c>
      <c r="E3" s="7" t="s">
        <v>4</v>
      </c>
      <c r="F3" s="7" t="s">
        <v>5</v>
      </c>
      <c r="G3" s="7" t="s">
        <v>6</v>
      </c>
      <c r="H3" s="7" t="s">
        <v>7</v>
      </c>
      <c r="I3" s="3" t="s">
        <v>8</v>
      </c>
      <c r="J3" s="3" t="s">
        <v>9</v>
      </c>
      <c r="K3" s="28"/>
    </row>
    <row r="4" spans="1:19" ht="12.75">
      <c r="A4" t="s">
        <v>13</v>
      </c>
      <c r="B4" s="9">
        <v>4</v>
      </c>
      <c r="C4" t="s">
        <v>14</v>
      </c>
      <c r="D4" s="10">
        <v>37426</v>
      </c>
      <c r="E4" s="11">
        <v>0.9180555555555556</v>
      </c>
      <c r="F4" s="11" t="s">
        <v>15</v>
      </c>
      <c r="G4" s="11"/>
      <c r="H4" s="2">
        <v>12</v>
      </c>
      <c r="I4" s="29">
        <f>IF(H4&gt;0,IF(J4="",IF($A$20="",IF(AND($A$21="",$A$22=""),($B$14+$B$15*H4/$B$6)*2/3*SQRT(2*9.81)*($B$5+$B$16)*POWER(H4/100+0.001,1.5)*1000,""),""),""),"")</f>
        <v>148.03737208610033</v>
      </c>
      <c r="J4" s="30">
        <f>IF(H4&gt;0,IF(H4&lt;$B$9,"Ekki er hægt að reikna rennsli fyrir svona lága vatnshæð",IF(H4&gt;$B$10,IF(H4&gt;5*$B$6,"Ekki er hægt að reikna rennsli fyrir svona háa vatnhæð","Varasamt er að reikna rennsli fyrir svo háa vatnshæð"),"")),"")</f>
      </c>
      <c r="K4" s="31"/>
      <c r="L4" s="3"/>
      <c r="M4" s="3"/>
      <c r="N4" s="3"/>
      <c r="O4" s="3"/>
      <c r="P4" s="3"/>
      <c r="Q4" s="3"/>
      <c r="R4" s="3"/>
      <c r="S4" s="3"/>
    </row>
    <row r="5" spans="1:19" ht="12.75">
      <c r="A5" t="s">
        <v>16</v>
      </c>
      <c r="B5" s="9">
        <v>2</v>
      </c>
      <c r="C5" t="s">
        <v>14</v>
      </c>
      <c r="D5" s="10">
        <v>37427</v>
      </c>
      <c r="E5" s="11">
        <v>0.6354166666666666</v>
      </c>
      <c r="F5" s="11" t="s">
        <v>17</v>
      </c>
      <c r="G5" s="11"/>
      <c r="H5" s="2">
        <v>5</v>
      </c>
      <c r="I5" s="29">
        <f aca="true" t="shared" si="0" ref="I5:I68">IF(H5&gt;0,IF(J5="",IF($A$20="",IF(AND($A$21="",$A$22=""),($B$14+$B$15*H5/$B$6)*2/3*SQRT(2*9.81)*($B$5+$B$16)*POWER(H5/100+0.001,1.5)*1000,""),""),""),"")</f>
        <v>40.403815561621634</v>
      </c>
      <c r="J5" s="30">
        <f aca="true" t="shared" si="1" ref="J5:J68">IF(H5&gt;0,IF(H5&lt;$B$9,"Ekki er hægt að reikna rennsli fyrir svona lága vatnshæð",IF(H5&gt;$B$10,IF(H5&gt;5*$B$6,"Ekki er hægt að reikna rennsli fyrir svona háa vatnhæð","Varasamt er að reikna rennsli fyrir svo háa vatnshæð"),"")),"")</f>
      </c>
      <c r="K5" s="31"/>
      <c r="L5" s="3"/>
      <c r="M5" s="3"/>
      <c r="N5" s="4" t="s">
        <v>52</v>
      </c>
      <c r="O5" s="51" t="s">
        <v>53</v>
      </c>
      <c r="P5" s="51"/>
      <c r="Q5" s="3"/>
      <c r="R5" s="3"/>
      <c r="S5" s="3"/>
    </row>
    <row r="6" spans="1:19" ht="12.75">
      <c r="A6" t="s">
        <v>54</v>
      </c>
      <c r="B6" s="9">
        <v>50</v>
      </c>
      <c r="C6" t="s">
        <v>21</v>
      </c>
      <c r="D6" s="10"/>
      <c r="F6" s="11"/>
      <c r="G6" s="11"/>
      <c r="I6" s="29">
        <f t="shared" si="0"/>
      </c>
      <c r="J6" s="30">
        <f t="shared" si="1"/>
      </c>
      <c r="K6" s="31"/>
      <c r="L6" s="3"/>
      <c r="M6" s="3"/>
      <c r="N6" s="4"/>
      <c r="O6" s="4" t="s">
        <v>55</v>
      </c>
      <c r="P6" s="4" t="s">
        <v>56</v>
      </c>
      <c r="Q6" s="3"/>
      <c r="R6" s="3"/>
      <c r="S6" s="3"/>
    </row>
    <row r="7" spans="1:19" ht="12.75">
      <c r="A7" t="s">
        <v>57</v>
      </c>
      <c r="B7" s="9">
        <v>10</v>
      </c>
      <c r="C7" t="s">
        <v>21</v>
      </c>
      <c r="D7" s="10"/>
      <c r="F7" s="2"/>
      <c r="G7" s="2"/>
      <c r="I7" s="29">
        <f t="shared" si="0"/>
      </c>
      <c r="J7" s="30">
        <f t="shared" si="1"/>
      </c>
      <c r="K7" s="31"/>
      <c r="L7" s="3"/>
      <c r="M7" s="3"/>
      <c r="N7" s="4">
        <v>0</v>
      </c>
      <c r="O7" s="4">
        <v>0.587</v>
      </c>
      <c r="P7" s="4">
        <v>-0.0023</v>
      </c>
      <c r="Q7" s="3"/>
      <c r="R7" s="3"/>
      <c r="S7" s="3"/>
    </row>
    <row r="8" spans="1:19" ht="15.75" customHeight="1">
      <c r="A8" t="s">
        <v>59</v>
      </c>
      <c r="B8" s="14">
        <v>3</v>
      </c>
      <c r="C8" t="s">
        <v>14</v>
      </c>
      <c r="D8" s="10"/>
      <c r="F8" s="2"/>
      <c r="G8" s="2"/>
      <c r="I8" s="29">
        <f t="shared" si="0"/>
      </c>
      <c r="J8" s="30">
        <f t="shared" si="1"/>
      </c>
      <c r="K8" s="31"/>
      <c r="L8" s="3"/>
      <c r="M8" s="3"/>
      <c r="N8" s="4">
        <v>0.1</v>
      </c>
      <c r="O8" s="4">
        <v>0.588</v>
      </c>
      <c r="P8" s="4">
        <v>-0.0021</v>
      </c>
      <c r="Q8" s="3"/>
      <c r="R8" s="3"/>
      <c r="S8" s="3"/>
    </row>
    <row r="9" spans="1:19" ht="15.75" customHeight="1">
      <c r="A9" s="3" t="s">
        <v>47</v>
      </c>
      <c r="B9" s="3">
        <v>3</v>
      </c>
      <c r="C9" t="s">
        <v>21</v>
      </c>
      <c r="D9" s="10"/>
      <c r="F9" s="2"/>
      <c r="G9" s="2"/>
      <c r="I9" s="29">
        <f t="shared" si="0"/>
      </c>
      <c r="J9" s="30">
        <f t="shared" si="1"/>
      </c>
      <c r="K9" s="31"/>
      <c r="L9" s="3"/>
      <c r="M9" s="3"/>
      <c r="N9" s="4">
        <v>0.2</v>
      </c>
      <c r="O9" s="4">
        <v>0.589</v>
      </c>
      <c r="P9" s="4">
        <v>-0.0018</v>
      </c>
      <c r="Q9" s="3"/>
      <c r="R9" s="3"/>
      <c r="S9" s="3"/>
    </row>
    <row r="10" spans="1:19" ht="15">
      <c r="A10" s="3" t="s">
        <v>48</v>
      </c>
      <c r="B10" s="16">
        <f>MIN(2*B6,B8*100/3)</f>
        <v>100</v>
      </c>
      <c r="C10" t="s">
        <v>21</v>
      </c>
      <c r="D10" s="10"/>
      <c r="F10" s="2"/>
      <c r="G10" s="2"/>
      <c r="I10" s="29">
        <f t="shared" si="0"/>
      </c>
      <c r="J10" s="30">
        <f t="shared" si="1"/>
      </c>
      <c r="K10" s="31"/>
      <c r="L10" s="3"/>
      <c r="M10" s="3"/>
      <c r="N10" s="4">
        <v>0.3</v>
      </c>
      <c r="O10" s="4">
        <v>0.59</v>
      </c>
      <c r="P10" s="4">
        <v>0.002</v>
      </c>
      <c r="Q10" s="3"/>
      <c r="R10" s="3"/>
      <c r="S10" s="3"/>
    </row>
    <row r="11" spans="1:19" ht="15">
      <c r="A11" s="3" t="s">
        <v>49</v>
      </c>
      <c r="B11" s="32">
        <f>IF($A$20="",IF($A$21="",($B$14+$B$15*B9/$B$6)*2/3*SQRT(2*9.81)*($B$5+$B$16)*POWER(B9/100+0.001,1.5)*1000,""),"")</f>
        <v>19.133188456086234</v>
      </c>
      <c r="C11" t="s">
        <v>23</v>
      </c>
      <c r="D11" s="10"/>
      <c r="F11" s="2"/>
      <c r="G11" s="2"/>
      <c r="I11" s="29">
        <f t="shared" si="0"/>
      </c>
      <c r="J11" s="30">
        <f t="shared" si="1"/>
      </c>
      <c r="K11" s="31"/>
      <c r="L11" s="3"/>
      <c r="M11" s="3"/>
      <c r="N11" s="4">
        <v>0.4</v>
      </c>
      <c r="O11" s="4">
        <v>0.591</v>
      </c>
      <c r="P11" s="4">
        <v>0.0058</v>
      </c>
      <c r="Q11" s="3"/>
      <c r="R11" s="3"/>
      <c r="S11" s="3"/>
    </row>
    <row r="12" spans="1:19" ht="15">
      <c r="A12" s="3" t="s">
        <v>50</v>
      </c>
      <c r="B12" s="32">
        <f>IF($A$20="",IF($A$21="",($B$14+$B$15*B10/$B$6)*2/3*SQRT(2*9.81)*($B$5+$B$16)*POWER(B10/100+0.001,1.5)*1000,""),"")</f>
        <v>3637.1287859183954</v>
      </c>
      <c r="C12" t="s">
        <v>23</v>
      </c>
      <c r="D12" s="10"/>
      <c r="I12" s="29">
        <f t="shared" si="0"/>
      </c>
      <c r="J12" s="30">
        <f t="shared" si="1"/>
      </c>
      <c r="K12" s="31"/>
      <c r="L12" s="3"/>
      <c r="M12" s="3"/>
      <c r="N12" s="4">
        <v>0.5</v>
      </c>
      <c r="O12" s="4">
        <v>0.592</v>
      </c>
      <c r="P12" s="4">
        <v>0.011</v>
      </c>
      <c r="Q12" s="3"/>
      <c r="R12" s="3"/>
      <c r="S12" s="3"/>
    </row>
    <row r="13" spans="1:19" ht="12.75">
      <c r="A13" s="4" t="s">
        <v>52</v>
      </c>
      <c r="B13" s="4">
        <f>B5/B4</f>
        <v>0.5</v>
      </c>
      <c r="D13" s="10"/>
      <c r="I13" s="29">
        <f t="shared" si="0"/>
      </c>
      <c r="J13" s="30">
        <f t="shared" si="1"/>
      </c>
      <c r="K13" s="31"/>
      <c r="L13" s="3"/>
      <c r="M13" s="3"/>
      <c r="N13" s="4">
        <v>0.6</v>
      </c>
      <c r="O13" s="4">
        <v>0.593</v>
      </c>
      <c r="P13" s="4">
        <v>0.018</v>
      </c>
      <c r="Q13" s="3"/>
      <c r="R13" s="3"/>
      <c r="S13" s="3"/>
    </row>
    <row r="14" spans="1:19" ht="12.75">
      <c r="A14" s="4" t="s">
        <v>55</v>
      </c>
      <c r="B14" s="33">
        <f>(LOOKUP($B$13,$N$7:$N$17,$O$7:$O$17))+(LOOKUP($B$13+0.1,$N$7:$N$17,$O$7:$O$17)-LOOKUP($B$13,$N$7:$N$17,$O$7:$O$17))*($B$13-INT($B$13*10)/10)/0.1</f>
        <v>0.592</v>
      </c>
      <c r="D14" s="10"/>
      <c r="I14" s="29">
        <f t="shared" si="0"/>
      </c>
      <c r="J14" s="30">
        <f t="shared" si="1"/>
      </c>
      <c r="K14" s="31"/>
      <c r="L14" s="3"/>
      <c r="M14" s="3"/>
      <c r="N14" s="4">
        <v>0.7</v>
      </c>
      <c r="O14" s="4">
        <v>0.595</v>
      </c>
      <c r="P14" s="4">
        <v>0.03</v>
      </c>
      <c r="Q14" s="3"/>
      <c r="R14" s="3"/>
      <c r="S14" s="3"/>
    </row>
    <row r="15" spans="1:19" ht="12.75">
      <c r="A15" s="4" t="s">
        <v>56</v>
      </c>
      <c r="B15" s="34">
        <f>(LOOKUP($B$13,$N$7:$N$17,$P$7:$P$17))+(LOOKUP($B$13+0.1,$N$7:$N$17,$P$7:$P$17)-LOOKUP($B$13,$N$7:$N$17,$P$7:$P$17))*($B$13-INT($B$13*10)/10)/0.1</f>
        <v>0.011</v>
      </c>
      <c r="D15" s="10"/>
      <c r="I15" s="29">
        <f t="shared" si="0"/>
      </c>
      <c r="J15" s="30">
        <f t="shared" si="1"/>
      </c>
      <c r="K15" s="31"/>
      <c r="L15" s="3"/>
      <c r="M15" s="3"/>
      <c r="N15" s="4">
        <v>0.8</v>
      </c>
      <c r="O15" s="4">
        <v>0.597</v>
      </c>
      <c r="P15" s="4">
        <v>0.045</v>
      </c>
      <c r="Q15" s="3"/>
      <c r="R15" s="3"/>
      <c r="S15" s="3"/>
    </row>
    <row r="16" spans="1:19" ht="12.75">
      <c r="A16" s="4" t="s">
        <v>58</v>
      </c>
      <c r="B16" s="34">
        <f>(LOOKUP($B$13,$N$20:$N$60,$O$20:$O$60))+(LOOKUP($B$13+0.025,$N$20:$N$60,$O$20:$O$60)-LOOKUP($B$13,$N$20:$N$60,$O$20:$O$60))*($B$13-INT($B$13/0.025)*0.025)/0.025</f>
        <v>0.003</v>
      </c>
      <c r="D16" s="10"/>
      <c r="I16" s="29">
        <f t="shared" si="0"/>
      </c>
      <c r="J16" s="30">
        <f t="shared" si="1"/>
      </c>
      <c r="K16" s="31"/>
      <c r="L16" s="3"/>
      <c r="M16" s="3"/>
      <c r="N16" s="4">
        <v>0.9</v>
      </c>
      <c r="O16" s="4">
        <v>0.599</v>
      </c>
      <c r="P16" s="4">
        <v>0.064</v>
      </c>
      <c r="Q16" s="3"/>
      <c r="R16" s="3"/>
      <c r="S16" s="3"/>
    </row>
    <row r="17" spans="1:19" ht="12.75">
      <c r="A17" s="3"/>
      <c r="B17" s="3"/>
      <c r="D17" s="10"/>
      <c r="I17" s="29">
        <f t="shared" si="0"/>
      </c>
      <c r="J17" s="30">
        <f t="shared" si="1"/>
      </c>
      <c r="K17" s="31"/>
      <c r="L17" s="3"/>
      <c r="M17" s="3"/>
      <c r="N17" s="4">
        <v>1</v>
      </c>
      <c r="O17" s="4">
        <v>0.602</v>
      </c>
      <c r="P17" s="4">
        <v>0.075</v>
      </c>
      <c r="Q17" s="3"/>
      <c r="R17" s="3"/>
      <c r="S17" s="3"/>
    </row>
    <row r="18" spans="1:19" ht="12.75">
      <c r="A18" s="3"/>
      <c r="B18" s="3"/>
      <c r="D18" s="10"/>
      <c r="I18" s="29">
        <f t="shared" si="0"/>
      </c>
      <c r="J18" s="30">
        <f t="shared" si="1"/>
      </c>
      <c r="K18" s="31"/>
      <c r="L18" s="3"/>
      <c r="M18" s="3"/>
      <c r="N18" s="4"/>
      <c r="O18" s="4"/>
      <c r="P18" s="4"/>
      <c r="Q18" s="3"/>
      <c r="R18" s="3"/>
      <c r="S18" s="3"/>
    </row>
    <row r="19" spans="1:19" ht="12.75">
      <c r="A19" s="3" t="s">
        <v>31</v>
      </c>
      <c r="B19" s="3"/>
      <c r="D19" s="10"/>
      <c r="I19" s="29">
        <f t="shared" si="0"/>
      </c>
      <c r="J19" s="30">
        <f t="shared" si="1"/>
      </c>
      <c r="K19" s="31"/>
      <c r="L19" s="3"/>
      <c r="M19" s="3"/>
      <c r="N19" s="4" t="s">
        <v>52</v>
      </c>
      <c r="O19" s="4" t="s">
        <v>58</v>
      </c>
      <c r="P19" s="4"/>
      <c r="Q19" s="3"/>
      <c r="R19" s="3"/>
      <c r="S19" s="3"/>
    </row>
    <row r="20" spans="1:19" ht="12.75">
      <c r="A20" s="35">
        <f>IF(B5&lt;0.15,"Yfirfallsskarðið verður að vera að minnsta kosti 15 cm breitt","")</f>
      </c>
      <c r="B20" s="3"/>
      <c r="D20" s="10"/>
      <c r="I20" s="29">
        <f t="shared" si="0"/>
      </c>
      <c r="J20" s="30">
        <f t="shared" si="1"/>
      </c>
      <c r="K20" s="31"/>
      <c r="L20" s="3"/>
      <c r="M20" s="3"/>
      <c r="N20" s="4">
        <v>0</v>
      </c>
      <c r="O20" s="4">
        <v>0.00242</v>
      </c>
      <c r="P20" s="4"/>
      <c r="Q20" s="3"/>
      <c r="R20" s="3"/>
      <c r="S20" s="3"/>
    </row>
    <row r="21" spans="1:19" ht="12.75">
      <c r="A21" s="35">
        <f>IF(B6&lt;10,"Þröskuldurinn verður að vera að minnsta kosti 10 cm hár","")</f>
      </c>
      <c r="B21" s="3"/>
      <c r="D21" s="10"/>
      <c r="I21" s="29">
        <f t="shared" si="0"/>
      </c>
      <c r="J21" s="30">
        <f t="shared" si="1"/>
      </c>
      <c r="K21" s="31"/>
      <c r="L21" s="3"/>
      <c r="M21" s="3"/>
      <c r="N21" s="4">
        <v>0.025</v>
      </c>
      <c r="O21" s="4">
        <f>O20+(O22-O20)/2</f>
        <v>0.00242</v>
      </c>
      <c r="P21" s="4"/>
      <c r="Q21" s="3"/>
      <c r="R21" s="3"/>
      <c r="S21" s="3"/>
    </row>
    <row r="22" spans="1:19" ht="12.75">
      <c r="A22" s="35">
        <f>IF(B7&lt;5,"Fjarlægð frá skarði niður að vatnsborði neðan stíflu á að vera a.m.k. 5 cm","")</f>
      </c>
      <c r="B22" s="3"/>
      <c r="D22" s="10"/>
      <c r="I22" s="29">
        <f t="shared" si="0"/>
      </c>
      <c r="J22" s="30">
        <f t="shared" si="1"/>
      </c>
      <c r="K22" s="31"/>
      <c r="L22" s="3"/>
      <c r="M22" s="3"/>
      <c r="N22" s="4">
        <v>0.05</v>
      </c>
      <c r="O22" s="4">
        <v>0.00242</v>
      </c>
      <c r="P22" s="4"/>
      <c r="Q22" s="3"/>
      <c r="R22" s="3"/>
      <c r="S22" s="3"/>
    </row>
    <row r="23" spans="1:19" ht="12.75">
      <c r="A23" s="35"/>
      <c r="B23" s="3"/>
      <c r="D23" s="10"/>
      <c r="I23" s="29">
        <f t="shared" si="0"/>
      </c>
      <c r="J23" s="30">
        <f t="shared" si="1"/>
      </c>
      <c r="K23" s="31"/>
      <c r="L23" s="3"/>
      <c r="M23" s="3"/>
      <c r="N23" s="4">
        <v>0.075</v>
      </c>
      <c r="O23" s="4">
        <f>O22+(O24-O22)/2</f>
        <v>0.0024149999999999996</v>
      </c>
      <c r="P23" s="4"/>
      <c r="Q23" s="3"/>
      <c r="R23" s="3"/>
      <c r="S23" s="3"/>
    </row>
    <row r="24" spans="1:19" ht="12.75">
      <c r="A24" s="35"/>
      <c r="B24" s="3"/>
      <c r="D24" s="10"/>
      <c r="I24" s="29">
        <f t="shared" si="0"/>
      </c>
      <c r="J24" s="30">
        <f t="shared" si="1"/>
      </c>
      <c r="K24" s="31"/>
      <c r="L24" s="3"/>
      <c r="M24" s="3"/>
      <c r="N24" s="4">
        <v>0.1</v>
      </c>
      <c r="O24" s="4">
        <v>0.00241</v>
      </c>
      <c r="P24" s="4"/>
      <c r="Q24" s="3"/>
      <c r="R24" s="3"/>
      <c r="S24" s="3"/>
    </row>
    <row r="25" spans="1:19" ht="12.75">
      <c r="A25" s="35"/>
      <c r="B25" s="3"/>
      <c r="D25" s="10"/>
      <c r="I25" s="29">
        <f t="shared" si="0"/>
      </c>
      <c r="J25" s="30">
        <f t="shared" si="1"/>
      </c>
      <c r="K25" s="31"/>
      <c r="L25" s="3"/>
      <c r="M25" s="3"/>
      <c r="N25" s="4">
        <v>0.125</v>
      </c>
      <c r="O25" s="4">
        <f>O24+(O26-O24)/2</f>
        <v>0.00241</v>
      </c>
      <c r="P25" s="4"/>
      <c r="Q25" s="3"/>
      <c r="R25" s="3"/>
      <c r="S25" s="3"/>
    </row>
    <row r="26" spans="1:19" ht="12.75">
      <c r="A26" s="35"/>
      <c r="B26" s="3"/>
      <c r="D26" s="10"/>
      <c r="I26" s="29">
        <f t="shared" si="0"/>
      </c>
      <c r="J26" s="30">
        <f t="shared" si="1"/>
      </c>
      <c r="K26" s="31"/>
      <c r="L26" s="3"/>
      <c r="M26" s="3"/>
      <c r="N26" s="4">
        <v>0.15</v>
      </c>
      <c r="O26" s="4">
        <v>0.00241</v>
      </c>
      <c r="P26" s="4"/>
      <c r="Q26" s="3"/>
      <c r="R26" s="3"/>
      <c r="S26" s="3"/>
    </row>
    <row r="27" spans="1:19" ht="12.75">
      <c r="A27" s="36"/>
      <c r="D27" s="10"/>
      <c r="I27" s="29">
        <f t="shared" si="0"/>
      </c>
      <c r="J27" s="30">
        <f t="shared" si="1"/>
      </c>
      <c r="K27" s="3"/>
      <c r="L27" s="3"/>
      <c r="M27" s="3"/>
      <c r="N27" s="4">
        <v>0.175</v>
      </c>
      <c r="O27" s="4">
        <f>O26+(O28-O26)/2</f>
        <v>0.0024149999999999996</v>
      </c>
      <c r="P27" s="4"/>
      <c r="Q27" s="3"/>
      <c r="R27" s="3"/>
      <c r="S27" s="3"/>
    </row>
    <row r="28" spans="4:19" ht="12.75">
      <c r="D28" s="10"/>
      <c r="I28" s="29">
        <f t="shared" si="0"/>
      </c>
      <c r="J28" s="30">
        <f t="shared" si="1"/>
      </c>
      <c r="K28" s="3"/>
      <c r="L28" s="3"/>
      <c r="M28" s="3"/>
      <c r="N28" s="4">
        <v>0.2</v>
      </c>
      <c r="O28" s="4">
        <v>0.00242</v>
      </c>
      <c r="P28" s="4"/>
      <c r="Q28" s="3"/>
      <c r="R28" s="3"/>
      <c r="S28" s="3"/>
    </row>
    <row r="29" spans="4:19" ht="12.75">
      <c r="D29" s="10"/>
      <c r="I29" s="29">
        <f t="shared" si="0"/>
      </c>
      <c r="J29" s="30">
        <f t="shared" si="1"/>
      </c>
      <c r="K29" s="3"/>
      <c r="L29" s="3"/>
      <c r="M29" s="3"/>
      <c r="N29" s="4">
        <v>0.225</v>
      </c>
      <c r="O29" s="4">
        <f>O28+(O30-O28)/2</f>
        <v>0.00244</v>
      </c>
      <c r="P29" s="4"/>
      <c r="Q29" s="3"/>
      <c r="R29" s="3"/>
      <c r="S29" s="3"/>
    </row>
    <row r="30" spans="4:19" ht="12.75">
      <c r="D30" s="10"/>
      <c r="I30" s="29">
        <f t="shared" si="0"/>
      </c>
      <c r="J30" s="30">
        <f t="shared" si="1"/>
      </c>
      <c r="K30" s="3"/>
      <c r="L30" s="3"/>
      <c r="M30" s="3"/>
      <c r="N30" s="4">
        <v>0.25</v>
      </c>
      <c r="O30" s="4">
        <v>0.00246</v>
      </c>
      <c r="P30" s="4"/>
      <c r="Q30" s="3"/>
      <c r="R30" s="3"/>
      <c r="S30" s="3"/>
    </row>
    <row r="31" spans="4:19" ht="12.75">
      <c r="D31" s="10"/>
      <c r="I31" s="29">
        <f t="shared" si="0"/>
      </c>
      <c r="J31" s="30">
        <f t="shared" si="1"/>
      </c>
      <c r="K31" s="3"/>
      <c r="L31" s="3"/>
      <c r="M31" s="3"/>
      <c r="N31" s="4">
        <v>0.275</v>
      </c>
      <c r="O31" s="4">
        <f>O30+(O32-O30)/2</f>
        <v>0.00249</v>
      </c>
      <c r="P31" s="4"/>
      <c r="Q31" s="3"/>
      <c r="R31" s="3"/>
      <c r="S31" s="3"/>
    </row>
    <row r="32" spans="4:19" ht="12.75">
      <c r="D32" s="10"/>
      <c r="I32" s="29">
        <f t="shared" si="0"/>
      </c>
      <c r="J32" s="30">
        <f t="shared" si="1"/>
      </c>
      <c r="K32" s="3"/>
      <c r="L32" s="3"/>
      <c r="M32" s="3"/>
      <c r="N32" s="4">
        <v>0.3</v>
      </c>
      <c r="O32" s="4">
        <v>0.00252</v>
      </c>
      <c r="P32" s="4"/>
      <c r="Q32" s="3"/>
      <c r="R32" s="3"/>
      <c r="S32" s="3"/>
    </row>
    <row r="33" spans="4:19" ht="12.75">
      <c r="D33" s="10"/>
      <c r="I33" s="29">
        <f t="shared" si="0"/>
      </c>
      <c r="J33" s="30">
        <f t="shared" si="1"/>
      </c>
      <c r="K33" s="3"/>
      <c r="L33" s="3"/>
      <c r="M33" s="3"/>
      <c r="N33" s="4">
        <v>0.325</v>
      </c>
      <c r="O33" s="4">
        <f>O32+(O34-O32)/2</f>
        <v>0.00255</v>
      </c>
      <c r="P33" s="4"/>
      <c r="Q33" s="3"/>
      <c r="R33" s="3"/>
      <c r="S33" s="3"/>
    </row>
    <row r="34" spans="4:19" ht="12.75">
      <c r="D34" s="10"/>
      <c r="I34" s="29">
        <f t="shared" si="0"/>
      </c>
      <c r="J34" s="30">
        <f t="shared" si="1"/>
      </c>
      <c r="K34" s="3"/>
      <c r="L34" s="3"/>
      <c r="M34" s="3"/>
      <c r="N34" s="4">
        <v>0.35</v>
      </c>
      <c r="O34" s="4">
        <v>0.00258</v>
      </c>
      <c r="P34" s="4"/>
      <c r="Q34" s="3"/>
      <c r="R34" s="3"/>
      <c r="S34" s="3"/>
    </row>
    <row r="35" spans="4:19" ht="12.75">
      <c r="D35" s="10"/>
      <c r="I35" s="29">
        <f t="shared" si="0"/>
      </c>
      <c r="J35" s="30">
        <f t="shared" si="1"/>
      </c>
      <c r="K35" s="3"/>
      <c r="L35" s="3"/>
      <c r="M35" s="3"/>
      <c r="N35" s="4">
        <v>0.375</v>
      </c>
      <c r="O35" s="4">
        <f>O34+(O36-O34)/2</f>
        <v>0.00263</v>
      </c>
      <c r="P35" s="4"/>
      <c r="Q35" s="3"/>
      <c r="R35" s="3"/>
      <c r="S35" s="3"/>
    </row>
    <row r="36" spans="4:19" ht="12.75">
      <c r="D36" s="10"/>
      <c r="I36" s="29">
        <f t="shared" si="0"/>
      </c>
      <c r="J36" s="30">
        <f t="shared" si="1"/>
      </c>
      <c r="K36" s="3"/>
      <c r="L36" s="3"/>
      <c r="M36" s="3"/>
      <c r="N36" s="4">
        <v>0.4</v>
      </c>
      <c r="O36" s="4">
        <v>0.00268</v>
      </c>
      <c r="P36" s="4"/>
      <c r="Q36" s="3"/>
      <c r="R36" s="3"/>
      <c r="S36" s="3"/>
    </row>
    <row r="37" spans="4:19" ht="12.75">
      <c r="D37" s="10"/>
      <c r="I37" s="29">
        <f t="shared" si="0"/>
      </c>
      <c r="J37" s="30">
        <f t="shared" si="1"/>
      </c>
      <c r="K37" s="3"/>
      <c r="L37" s="3"/>
      <c r="M37" s="3"/>
      <c r="N37" s="4">
        <v>0.425</v>
      </c>
      <c r="O37" s="4">
        <f>O36+(O38-O36)/2</f>
        <v>0.0027400000000000002</v>
      </c>
      <c r="P37" s="4"/>
      <c r="Q37" s="3"/>
      <c r="R37" s="3"/>
      <c r="S37" s="3"/>
    </row>
    <row r="38" spans="4:19" ht="12.75">
      <c r="D38" s="10"/>
      <c r="I38" s="29">
        <f t="shared" si="0"/>
      </c>
      <c r="J38" s="30"/>
      <c r="K38" s="3"/>
      <c r="L38" s="3"/>
      <c r="M38" s="3"/>
      <c r="N38" s="4">
        <v>0.45</v>
      </c>
      <c r="O38" s="4">
        <v>0.0028</v>
      </c>
      <c r="P38" s="4"/>
      <c r="Q38" s="3"/>
      <c r="R38" s="3"/>
      <c r="S38" s="3"/>
    </row>
    <row r="39" spans="4:19" ht="12.75">
      <c r="D39" s="10"/>
      <c r="I39" s="29">
        <f t="shared" si="0"/>
      </c>
      <c r="J39" s="30"/>
      <c r="K39" s="3"/>
      <c r="L39" s="3"/>
      <c r="M39" s="3"/>
      <c r="N39" s="4">
        <v>0.475</v>
      </c>
      <c r="O39" s="4">
        <f>O38+(O40-O38)/2</f>
        <v>0.0029</v>
      </c>
      <c r="P39" s="4"/>
      <c r="Q39" s="3"/>
      <c r="R39" s="3"/>
      <c r="S39" s="3"/>
    </row>
    <row r="40" spans="4:19" ht="12.75">
      <c r="D40" s="10"/>
      <c r="I40" s="29">
        <f t="shared" si="0"/>
      </c>
      <c r="J40" s="30">
        <f t="shared" si="1"/>
      </c>
      <c r="K40" s="3"/>
      <c r="L40" s="3"/>
      <c r="M40" s="3"/>
      <c r="N40" s="4">
        <v>0.5</v>
      </c>
      <c r="O40" s="4">
        <v>0.003</v>
      </c>
      <c r="P40" s="4"/>
      <c r="Q40" s="3"/>
      <c r="R40" s="3"/>
      <c r="S40" s="3"/>
    </row>
    <row r="41" spans="4:19" ht="12.75">
      <c r="D41" s="10"/>
      <c r="I41" s="29">
        <f t="shared" si="0"/>
      </c>
      <c r="J41" s="30">
        <f t="shared" si="1"/>
      </c>
      <c r="K41" s="3"/>
      <c r="L41" s="3"/>
      <c r="M41" s="3"/>
      <c r="N41" s="4">
        <v>0.525</v>
      </c>
      <c r="O41" s="4">
        <f>O40+(O42-O40)/2</f>
        <v>0.00313</v>
      </c>
      <c r="P41" s="4"/>
      <c r="Q41" s="3"/>
      <c r="R41" s="3"/>
      <c r="S41" s="3"/>
    </row>
    <row r="42" spans="4:19" ht="12.75">
      <c r="D42" s="10"/>
      <c r="I42" s="29">
        <f t="shared" si="0"/>
      </c>
      <c r="J42" s="30">
        <f t="shared" si="1"/>
      </c>
      <c r="K42" s="3"/>
      <c r="L42" s="3"/>
      <c r="M42" s="3"/>
      <c r="N42" s="4">
        <v>0.55</v>
      </c>
      <c r="O42" s="4">
        <v>0.00326</v>
      </c>
      <c r="P42" s="4"/>
      <c r="Q42" s="3"/>
      <c r="R42" s="3"/>
      <c r="S42" s="3"/>
    </row>
    <row r="43" spans="9:19" ht="12.75">
      <c r="I43" s="29">
        <f t="shared" si="0"/>
      </c>
      <c r="J43" s="30">
        <f t="shared" si="1"/>
      </c>
      <c r="K43" s="3"/>
      <c r="L43" s="3"/>
      <c r="M43" s="3"/>
      <c r="N43" s="4">
        <v>0.575</v>
      </c>
      <c r="O43" s="4">
        <f>O42+(O44-O42)/2</f>
        <v>0.003425</v>
      </c>
      <c r="P43" s="4"/>
      <c r="Q43" s="3"/>
      <c r="R43" s="3"/>
      <c r="S43" s="3"/>
    </row>
    <row r="44" spans="9:19" ht="12.75">
      <c r="I44" s="29">
        <f t="shared" si="0"/>
      </c>
      <c r="J44" s="30">
        <f t="shared" si="1"/>
      </c>
      <c r="K44" s="3"/>
      <c r="L44" s="3"/>
      <c r="M44" s="3"/>
      <c r="N44" s="4">
        <v>0.6</v>
      </c>
      <c r="O44" s="4">
        <v>0.00359</v>
      </c>
      <c r="P44" s="4"/>
      <c r="Q44" s="3"/>
      <c r="R44" s="3"/>
      <c r="S44" s="3"/>
    </row>
    <row r="45" spans="9:19" ht="12.75">
      <c r="I45" s="29">
        <f t="shared" si="0"/>
      </c>
      <c r="J45" s="30">
        <f t="shared" si="1"/>
      </c>
      <c r="K45" s="3"/>
      <c r="L45" s="3"/>
      <c r="M45" s="3"/>
      <c r="N45" s="4">
        <v>0.625</v>
      </c>
      <c r="O45" s="4">
        <f>O44+(O46-O44)/2</f>
        <v>0.00373</v>
      </c>
      <c r="P45" s="4"/>
      <c r="Q45" s="3"/>
      <c r="R45" s="3"/>
      <c r="S45" s="3"/>
    </row>
    <row r="46" spans="9:19" ht="12.75">
      <c r="I46" s="29">
        <f t="shared" si="0"/>
      </c>
      <c r="J46" s="30">
        <f t="shared" si="1"/>
      </c>
      <c r="K46" s="3"/>
      <c r="L46" s="3"/>
      <c r="M46" s="3"/>
      <c r="N46" s="4">
        <v>0.65</v>
      </c>
      <c r="O46" s="4">
        <v>0.00387</v>
      </c>
      <c r="P46" s="4"/>
      <c r="Q46" s="3"/>
      <c r="R46" s="3"/>
      <c r="S46" s="3"/>
    </row>
    <row r="47" spans="9:19" ht="12.75">
      <c r="I47" s="29">
        <f t="shared" si="0"/>
      </c>
      <c r="J47" s="30">
        <f t="shared" si="1"/>
      </c>
      <c r="K47" s="3"/>
      <c r="L47" s="3"/>
      <c r="M47" s="3"/>
      <c r="N47" s="4">
        <v>0.675</v>
      </c>
      <c r="O47" s="4">
        <f>O46+(O48-O46)/2</f>
        <v>0.00398</v>
      </c>
      <c r="P47" s="4"/>
      <c r="Q47" s="3"/>
      <c r="R47" s="3"/>
      <c r="S47" s="3"/>
    </row>
    <row r="48" spans="9:19" ht="12.75">
      <c r="I48" s="29">
        <f t="shared" si="0"/>
      </c>
      <c r="J48" s="30">
        <f t="shared" si="1"/>
      </c>
      <c r="K48" s="3"/>
      <c r="L48" s="3"/>
      <c r="M48" s="3"/>
      <c r="N48" s="4">
        <v>0.7</v>
      </c>
      <c r="O48" s="4">
        <v>0.00409</v>
      </c>
      <c r="P48" s="4"/>
      <c r="Q48" s="3"/>
      <c r="R48" s="3"/>
      <c r="S48" s="3"/>
    </row>
    <row r="49" spans="9:19" ht="12.75">
      <c r="I49" s="29">
        <f t="shared" si="0"/>
      </c>
      <c r="J49" s="30">
        <f t="shared" si="1"/>
      </c>
      <c r="K49" s="3"/>
      <c r="L49" s="3"/>
      <c r="M49" s="3"/>
      <c r="N49" s="4">
        <v>0.725</v>
      </c>
      <c r="O49" s="4">
        <f>O48+(O50-O48)/2</f>
        <v>0.004165</v>
      </c>
      <c r="P49" s="4"/>
      <c r="Q49" s="3"/>
      <c r="R49" s="3"/>
      <c r="S49" s="3"/>
    </row>
    <row r="50" spans="9:19" ht="12.75">
      <c r="I50" s="29">
        <f t="shared" si="0"/>
      </c>
      <c r="J50" s="30">
        <f t="shared" si="1"/>
      </c>
      <c r="K50" s="3"/>
      <c r="L50" s="3"/>
      <c r="M50" s="3"/>
      <c r="N50" s="4">
        <v>0.75</v>
      </c>
      <c r="O50" s="4">
        <v>0.00424</v>
      </c>
      <c r="P50" s="4"/>
      <c r="Q50" s="3"/>
      <c r="R50" s="3"/>
      <c r="S50" s="3"/>
    </row>
    <row r="51" spans="9:19" ht="12.75">
      <c r="I51" s="29">
        <f t="shared" si="0"/>
      </c>
      <c r="J51" s="30">
        <f t="shared" si="1"/>
      </c>
      <c r="K51" s="3"/>
      <c r="L51" s="3"/>
      <c r="M51" s="3"/>
      <c r="N51" s="4">
        <v>0.775</v>
      </c>
      <c r="O51" s="4">
        <f>O50+(O52-O50)/2</f>
        <v>0.004255</v>
      </c>
      <c r="P51" s="4"/>
      <c r="Q51" s="3"/>
      <c r="R51" s="3"/>
      <c r="S51" s="3"/>
    </row>
    <row r="52" spans="9:19" ht="12.75">
      <c r="I52" s="29">
        <f t="shared" si="0"/>
      </c>
      <c r="J52" s="30">
        <f t="shared" si="1"/>
      </c>
      <c r="K52" s="3"/>
      <c r="L52" s="3"/>
      <c r="M52" s="3"/>
      <c r="N52" s="4">
        <v>0.8</v>
      </c>
      <c r="O52" s="4">
        <v>0.00427</v>
      </c>
      <c r="P52" s="4"/>
      <c r="Q52" s="3"/>
      <c r="R52" s="3"/>
      <c r="S52" s="3"/>
    </row>
    <row r="53" spans="9:19" ht="12.75">
      <c r="I53" s="29">
        <f t="shared" si="0"/>
      </c>
      <c r="J53" s="30">
        <f t="shared" si="1"/>
      </c>
      <c r="K53" s="3"/>
      <c r="L53" s="3"/>
      <c r="M53" s="3"/>
      <c r="N53" s="4">
        <v>0.825</v>
      </c>
      <c r="O53" s="4">
        <f>O52+(O54-O52)/2</f>
        <v>0.00419</v>
      </c>
      <c r="P53" s="4"/>
      <c r="Q53" s="3"/>
      <c r="R53" s="3"/>
      <c r="S53" s="3"/>
    </row>
    <row r="54" spans="9:19" ht="12.75">
      <c r="I54" s="29">
        <f t="shared" si="0"/>
      </c>
      <c r="J54" s="30">
        <f t="shared" si="1"/>
      </c>
      <c r="K54" s="3"/>
      <c r="L54" s="3"/>
      <c r="M54" s="3"/>
      <c r="N54" s="4">
        <v>0.85</v>
      </c>
      <c r="O54" s="4">
        <v>0.00411</v>
      </c>
      <c r="P54" s="4"/>
      <c r="Q54" s="3"/>
      <c r="R54" s="3"/>
      <c r="S54" s="3"/>
    </row>
    <row r="55" spans="9:19" ht="12.75">
      <c r="I55" s="29">
        <f t="shared" si="0"/>
      </c>
      <c r="J55" s="30">
        <f t="shared" si="1"/>
      </c>
      <c r="K55" s="3"/>
      <c r="L55" s="3"/>
      <c r="M55" s="3"/>
      <c r="N55" s="4">
        <v>0.875</v>
      </c>
      <c r="O55" s="4">
        <v>0.00394</v>
      </c>
      <c r="P55" s="4"/>
      <c r="Q55" s="3"/>
      <c r="R55" s="3"/>
      <c r="S55" s="3"/>
    </row>
    <row r="56" spans="9:19" ht="12.75">
      <c r="I56" s="29">
        <f t="shared" si="0"/>
      </c>
      <c r="J56" s="30">
        <f t="shared" si="1"/>
      </c>
      <c r="K56" s="3"/>
      <c r="L56" s="3"/>
      <c r="M56" s="3"/>
      <c r="N56" s="4">
        <v>0.9</v>
      </c>
      <c r="O56" s="4">
        <v>0.00368</v>
      </c>
      <c r="P56" s="4"/>
      <c r="Q56" s="3"/>
      <c r="R56" s="3"/>
      <c r="S56" s="3"/>
    </row>
    <row r="57" spans="9:19" ht="12.75">
      <c r="I57" s="29">
        <f t="shared" si="0"/>
      </c>
      <c r="J57" s="30">
        <f t="shared" si="1"/>
      </c>
      <c r="K57" s="3"/>
      <c r="L57" s="3"/>
      <c r="M57" s="3"/>
      <c r="N57" s="4">
        <v>0.925</v>
      </c>
      <c r="O57" s="4">
        <v>0.00332</v>
      </c>
      <c r="P57" s="4"/>
      <c r="Q57" s="3"/>
      <c r="R57" s="3"/>
      <c r="S57" s="3"/>
    </row>
    <row r="58" spans="9:19" ht="12.75">
      <c r="I58" s="29">
        <f t="shared" si="0"/>
      </c>
      <c r="J58" s="30">
        <f t="shared" si="1"/>
      </c>
      <c r="K58" s="3"/>
      <c r="L58" s="3"/>
      <c r="M58" s="3"/>
      <c r="N58" s="4">
        <v>0.95</v>
      </c>
      <c r="O58" s="4">
        <v>0.00287</v>
      </c>
      <c r="P58" s="4"/>
      <c r="Q58" s="3"/>
      <c r="R58" s="3"/>
      <c r="S58" s="3"/>
    </row>
    <row r="59" spans="9:19" ht="12.75">
      <c r="I59" s="29">
        <f t="shared" si="0"/>
      </c>
      <c r="J59" s="30">
        <f t="shared" si="1"/>
      </c>
      <c r="K59" s="3"/>
      <c r="L59" s="3"/>
      <c r="M59" s="3"/>
      <c r="N59" s="4">
        <v>0.975</v>
      </c>
      <c r="O59" s="4">
        <v>0.002</v>
      </c>
      <c r="P59" s="4"/>
      <c r="Q59" s="3"/>
      <c r="R59" s="3"/>
      <c r="S59" s="3"/>
    </row>
    <row r="60" spans="9:19" ht="12.75">
      <c r="I60" s="29">
        <f t="shared" si="0"/>
      </c>
      <c r="J60" s="30">
        <f t="shared" si="1"/>
      </c>
      <c r="K60" s="3"/>
      <c r="L60" s="3"/>
      <c r="M60" s="3"/>
      <c r="N60" s="4">
        <v>1</v>
      </c>
      <c r="O60" s="4">
        <v>-0.0009</v>
      </c>
      <c r="P60" s="4"/>
      <c r="Q60" s="3"/>
      <c r="R60" s="3"/>
      <c r="S60" s="3"/>
    </row>
    <row r="61" spans="9:10" ht="12.75">
      <c r="I61" s="29">
        <f t="shared" si="0"/>
      </c>
      <c r="J61" s="30">
        <f t="shared" si="1"/>
      </c>
    </row>
    <row r="62" spans="9:10" ht="12.75">
      <c r="I62" s="29">
        <f t="shared" si="0"/>
      </c>
      <c r="J62" s="30">
        <f t="shared" si="1"/>
      </c>
    </row>
    <row r="63" spans="9:10" ht="12.75">
      <c r="I63" s="29">
        <f t="shared" si="0"/>
      </c>
      <c r="J63" s="30">
        <f t="shared" si="1"/>
      </c>
    </row>
    <row r="64" spans="9:10" ht="12.75">
      <c r="I64" s="29">
        <f t="shared" si="0"/>
      </c>
      <c r="J64" s="30">
        <f t="shared" si="1"/>
      </c>
    </row>
    <row r="65" spans="9:10" ht="12.75">
      <c r="I65" s="29">
        <f t="shared" si="0"/>
      </c>
      <c r="J65" s="30">
        <f t="shared" si="1"/>
      </c>
    </row>
    <row r="66" spans="9:10" ht="12.75">
      <c r="I66" s="29">
        <f t="shared" si="0"/>
      </c>
      <c r="J66" s="30">
        <f t="shared" si="1"/>
      </c>
    </row>
    <row r="67" spans="9:10" ht="12.75">
      <c r="I67" s="29">
        <f t="shared" si="0"/>
      </c>
      <c r="J67" s="30">
        <f t="shared" si="1"/>
      </c>
    </row>
    <row r="68" spans="9:10" ht="12.75">
      <c r="I68" s="29">
        <f t="shared" si="0"/>
      </c>
      <c r="J68" s="30">
        <f t="shared" si="1"/>
      </c>
    </row>
    <row r="69" spans="9:10" ht="12.75">
      <c r="I69" s="29">
        <f aca="true" t="shared" si="2" ref="I69:I99">IF(H69&gt;0,IF(J69="",IF($A$20="",IF(AND($A$21="",$A$22=""),($B$14+$B$15*H69/$B$6)*2/3*SQRT(2*9.81)*($B$5+$B$16)*POWER(H69/100+0.001,1.5)*1000,""),""),""),"")</f>
      </c>
      <c r="J69" s="30">
        <f aca="true" t="shared" si="3" ref="J69:J99">IF(H69&gt;0,IF(H69&lt;$B$9,"Ekki er hægt að reikna rennsli fyrir svona lága vatnshæð",IF(H69&gt;$B$10,IF(H69&gt;5*$B$6,"Ekki er hægt að reikna rennsli fyrir svona háa vatnhæð","Varasamt er að reikna rennsli fyrir svo háa vatnshæð"),"")),"")</f>
      </c>
    </row>
    <row r="70" spans="9:10" ht="12.75">
      <c r="I70" s="29">
        <f t="shared" si="2"/>
      </c>
      <c r="J70" s="30">
        <f t="shared" si="3"/>
      </c>
    </row>
    <row r="71" spans="9:10" ht="12.75">
      <c r="I71" s="29">
        <f t="shared" si="2"/>
      </c>
      <c r="J71" s="30">
        <f t="shared" si="3"/>
      </c>
    </row>
    <row r="72" spans="9:10" ht="12.75">
      <c r="I72" s="29">
        <f t="shared" si="2"/>
      </c>
      <c r="J72" s="30">
        <f t="shared" si="3"/>
      </c>
    </row>
    <row r="73" spans="9:10" ht="12.75">
      <c r="I73" s="29">
        <f t="shared" si="2"/>
      </c>
      <c r="J73" s="30">
        <f t="shared" si="3"/>
      </c>
    </row>
    <row r="74" spans="9:10" ht="12.75">
      <c r="I74" s="29">
        <f t="shared" si="2"/>
      </c>
      <c r="J74" s="30">
        <f t="shared" si="3"/>
      </c>
    </row>
    <row r="75" spans="9:10" ht="12.75">
      <c r="I75" s="29">
        <f t="shared" si="2"/>
      </c>
      <c r="J75" s="30">
        <f t="shared" si="3"/>
      </c>
    </row>
    <row r="76" spans="9:10" ht="12.75">
      <c r="I76" s="29">
        <f t="shared" si="2"/>
      </c>
      <c r="J76" s="30">
        <f t="shared" si="3"/>
      </c>
    </row>
    <row r="77" spans="9:10" ht="12.75">
      <c r="I77" s="29">
        <f t="shared" si="2"/>
      </c>
      <c r="J77" s="30">
        <f t="shared" si="3"/>
      </c>
    </row>
    <row r="78" spans="9:10" ht="12.75">
      <c r="I78" s="29">
        <f t="shared" si="2"/>
      </c>
      <c r="J78" s="30">
        <f t="shared" si="3"/>
      </c>
    </row>
    <row r="79" spans="9:10" ht="12.75">
      <c r="I79" s="29">
        <f t="shared" si="2"/>
      </c>
      <c r="J79" s="30">
        <f t="shared" si="3"/>
      </c>
    </row>
    <row r="80" spans="9:10" ht="12.75">
      <c r="I80" s="29">
        <f t="shared" si="2"/>
      </c>
      <c r="J80" s="30">
        <f t="shared" si="3"/>
      </c>
    </row>
    <row r="81" spans="9:10" ht="12.75">
      <c r="I81" s="29">
        <f t="shared" si="2"/>
      </c>
      <c r="J81" s="30">
        <f t="shared" si="3"/>
      </c>
    </row>
    <row r="82" spans="9:10" ht="12.75">
      <c r="I82" s="29">
        <f t="shared" si="2"/>
      </c>
      <c r="J82" s="30">
        <f t="shared" si="3"/>
      </c>
    </row>
    <row r="83" spans="9:10" ht="12.75">
      <c r="I83" s="29">
        <f t="shared" si="2"/>
      </c>
      <c r="J83" s="30">
        <f t="shared" si="3"/>
      </c>
    </row>
    <row r="84" spans="9:10" ht="12.75">
      <c r="I84" s="29">
        <f t="shared" si="2"/>
      </c>
      <c r="J84" s="30">
        <f t="shared" si="3"/>
      </c>
    </row>
    <row r="85" spans="9:10" ht="12.75">
      <c r="I85" s="29">
        <f t="shared" si="2"/>
      </c>
      <c r="J85" s="30">
        <f t="shared" si="3"/>
      </c>
    </row>
    <row r="86" spans="9:10" ht="12.75">
      <c r="I86" s="29">
        <f t="shared" si="2"/>
      </c>
      <c r="J86" s="30">
        <f t="shared" si="3"/>
      </c>
    </row>
    <row r="87" spans="9:10" ht="12.75">
      <c r="I87" s="29">
        <f t="shared" si="2"/>
      </c>
      <c r="J87" s="30">
        <f t="shared" si="3"/>
      </c>
    </row>
    <row r="88" spans="9:10" ht="12.75">
      <c r="I88" s="29">
        <f t="shared" si="2"/>
      </c>
      <c r="J88" s="30">
        <f t="shared" si="3"/>
      </c>
    </row>
    <row r="89" spans="9:10" ht="12.75">
      <c r="I89" s="29">
        <f t="shared" si="2"/>
      </c>
      <c r="J89" s="30">
        <f t="shared" si="3"/>
      </c>
    </row>
    <row r="90" spans="9:10" ht="12.75">
      <c r="I90" s="29">
        <f t="shared" si="2"/>
      </c>
      <c r="J90" s="30">
        <f t="shared" si="3"/>
      </c>
    </row>
    <row r="91" spans="9:10" ht="12.75">
      <c r="I91" s="29">
        <f t="shared" si="2"/>
      </c>
      <c r="J91" s="30">
        <f t="shared" si="3"/>
      </c>
    </row>
    <row r="92" spans="9:10" ht="12.75">
      <c r="I92" s="29">
        <f t="shared" si="2"/>
      </c>
      <c r="J92" s="30">
        <f t="shared" si="3"/>
      </c>
    </row>
    <row r="93" spans="9:10" ht="12.75">
      <c r="I93" s="29">
        <f t="shared" si="2"/>
      </c>
      <c r="J93" s="30">
        <f t="shared" si="3"/>
      </c>
    </row>
    <row r="94" spans="9:10" ht="12.75">
      <c r="I94" s="29">
        <f t="shared" si="2"/>
      </c>
      <c r="J94" s="30">
        <f t="shared" si="3"/>
      </c>
    </row>
    <row r="95" spans="9:10" ht="12.75">
      <c r="I95" s="29">
        <f t="shared" si="2"/>
      </c>
      <c r="J95" s="30">
        <f t="shared" si="3"/>
      </c>
    </row>
    <row r="96" spans="9:10" ht="12.75">
      <c r="I96" s="29">
        <f t="shared" si="2"/>
      </c>
      <c r="J96" s="30">
        <f t="shared" si="3"/>
      </c>
    </row>
    <row r="97" spans="9:10" ht="12.75">
      <c r="I97" s="29">
        <f t="shared" si="2"/>
      </c>
      <c r="J97" s="30">
        <f t="shared" si="3"/>
      </c>
    </row>
    <row r="98" spans="9:10" ht="12.75">
      <c r="I98" s="29">
        <f t="shared" si="2"/>
      </c>
      <c r="J98" s="30">
        <f t="shared" si="3"/>
      </c>
    </row>
    <row r="99" spans="9:10" ht="12.75">
      <c r="I99" s="29">
        <f t="shared" si="2"/>
      </c>
      <c r="J99" s="30">
        <f t="shared" si="3"/>
      </c>
    </row>
  </sheetData>
  <sheetProtection password="F639" sheet="1" objects="1" scenarios="1"/>
  <mergeCells count="1">
    <mergeCell ref="O5:P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99"/>
  <sheetViews>
    <sheetView zoomScalePageLayoutView="0" workbookViewId="0" topLeftCell="A1">
      <selection activeCell="F1" sqref="F1"/>
    </sheetView>
  </sheetViews>
  <sheetFormatPr defaultColWidth="9.140625" defaultRowHeight="12.75"/>
  <cols>
    <col min="1" max="1" width="41.8515625" style="0" bestFit="1" customWidth="1"/>
    <col min="3" max="3" width="7.421875" style="0" customWidth="1"/>
    <col min="4" max="4" width="14.421875" style="9" customWidth="1"/>
    <col min="5" max="5" width="9.140625" style="9" customWidth="1"/>
    <col min="6" max="6" width="28.00390625" style="9" bestFit="1" customWidth="1"/>
    <col min="7" max="7" width="25.00390625" style="9" bestFit="1" customWidth="1"/>
    <col min="8" max="8" width="25.8515625" style="9" customWidth="1"/>
    <col min="9" max="9" width="17.00390625" style="0" customWidth="1"/>
    <col min="10" max="10" width="46.00390625" style="0" customWidth="1"/>
    <col min="11" max="37" width="9.140625" style="37" customWidth="1"/>
  </cols>
  <sheetData>
    <row r="1" spans="1:10" ht="12.75">
      <c r="A1" s="5" t="s">
        <v>60</v>
      </c>
      <c r="D1" s="41" t="s">
        <v>1</v>
      </c>
      <c r="E1" s="7"/>
      <c r="F1" s="2"/>
      <c r="G1" s="7"/>
      <c r="H1" s="40"/>
      <c r="I1" s="3"/>
      <c r="J1" s="3"/>
    </row>
    <row r="2" spans="4:14" ht="12.75">
      <c r="D2" s="7"/>
      <c r="E2" s="7"/>
      <c r="F2" s="7"/>
      <c r="G2" s="7"/>
      <c r="H2" s="7"/>
      <c r="I2" s="3"/>
      <c r="J2" s="3"/>
      <c r="N2" s="37" t="s">
        <v>61</v>
      </c>
    </row>
    <row r="3" spans="1:38" ht="12.75">
      <c r="A3" s="5" t="s">
        <v>2</v>
      </c>
      <c r="D3" s="7" t="s">
        <v>3</v>
      </c>
      <c r="E3" s="7" t="s">
        <v>4</v>
      </c>
      <c r="F3" s="7" t="s">
        <v>5</v>
      </c>
      <c r="G3" s="7" t="s">
        <v>6</v>
      </c>
      <c r="H3" s="7" t="s">
        <v>7</v>
      </c>
      <c r="I3" s="3" t="s">
        <v>8</v>
      </c>
      <c r="J3" s="38" t="s">
        <v>9</v>
      </c>
      <c r="K3" s="4" t="s">
        <v>62</v>
      </c>
      <c r="L3" s="4" t="s">
        <v>63</v>
      </c>
      <c r="M3" s="4"/>
      <c r="N3" s="4" t="s">
        <v>64</v>
      </c>
      <c r="O3" s="4" t="s">
        <v>63</v>
      </c>
      <c r="P3" s="4"/>
      <c r="Q3" s="4"/>
      <c r="R3" s="4"/>
      <c r="S3" s="4"/>
      <c r="T3" s="4"/>
      <c r="U3" s="4"/>
      <c r="V3" s="4"/>
      <c r="W3" s="4"/>
      <c r="X3" s="4"/>
      <c r="Y3" s="4"/>
      <c r="Z3" s="4"/>
      <c r="AA3" s="4"/>
      <c r="AB3" s="4"/>
      <c r="AC3" s="4"/>
      <c r="AD3" s="4"/>
      <c r="AE3" s="4"/>
      <c r="AF3" s="4"/>
      <c r="AG3" s="4"/>
      <c r="AH3" s="4"/>
      <c r="AI3" s="4"/>
      <c r="AJ3" s="4"/>
      <c r="AK3" s="4"/>
      <c r="AL3" s="3"/>
    </row>
    <row r="4" spans="1:38" ht="12.75">
      <c r="A4" t="s">
        <v>13</v>
      </c>
      <c r="B4" s="9">
        <v>10</v>
      </c>
      <c r="C4" s="6" t="s">
        <v>14</v>
      </c>
      <c r="D4" s="10">
        <v>37426</v>
      </c>
      <c r="E4" s="11">
        <v>0.9180555555555556</v>
      </c>
      <c r="F4" s="11" t="s">
        <v>15</v>
      </c>
      <c r="G4" s="11"/>
      <c r="H4" s="2">
        <v>30</v>
      </c>
      <c r="I4" s="12">
        <f>IF(AND(H4&gt;0,K4&gt;0,L4&gt;0,J4=""),(K4*L4*2/3*(2/3*9.81)^0.5*$B$5*(H4/100)^1.5)*1000,"")</f>
        <v>2056.284762986966</v>
      </c>
      <c r="J4" s="13">
        <f aca="true" t="shared" si="0" ref="J4:J35">IF(H4="","",IF(AND(A$23="",A$24=""),IF(H4&gt;$B$10,"Ekki er hægt að reikna rennsli fyrir svo háa vatnshæð",IF(H4&lt;$B$9,"Ekki er hægt að reikna rennsli fyrir svo lága vatnshæð",IF(AND(H4&gt;0,OR(K4=0,L4=0)),"Ekki er hægt að reikna rennsli fyrir þessa vatnshæð",""))),"Ekki er hægt að reikna rennsli fyrir þetta yfirfall"))</f>
      </c>
      <c r="K4" s="4">
        <f aca="true" t="shared" si="1" ref="K4:K35">IF(H4&gt;0,IF((VLOOKUP(0.01*H4/$B$6,$N$24:$AK$57,MAX(2,INT((H4/(H4+$B$7))/0.025)-11),TRUE)+(VLOOKUP(0.01*H4/$B$6,$N$24:$AK$57,MAX(2,INT((H4/(H4+$B$7))/0.025)-10),TRUE)-VLOOKUP(0.01*H4/$B$6,$N$24:$AK$57,MAX(2,INT((H4/(H4+$B$7))/0.025)-11),TRUE))*(H4/(H4+$B$7)-INT((H4/(H4+$B$7))/0.025)*0.025)/0.025+(VLOOKUP(0.01*H4/$B$6+0.05,$N$24:$AK$57,MAX(2,INT((H4/(H4+$B$7))/0.025)-11),TRUE)-VLOOKUP(0.01*H4/$B$6,$N$24:$AK$57,MAX(2,INT((H4/(H4+$B$7))/0.025)-11),TRUE))*(0.01*H4/$B$6-INT((0.01*H4/$B$6)/0.05)*0.05)/0.05)&gt;0,0.848*(VLOOKUP(0.01*H4/$B$6,$N$24:$AK$57,MAX(2,INT((H4/(H4+$B$7))/0.025)-11),TRUE)+(VLOOKUP(0.01*H4/$B$6,$N$24:$AK$57,MAX(2,INT((H4/(H4+$B$7))/0.025)-10),TRUE)-VLOOKUP(0.01*H4/$B$6,$N$24:$AK$57,MAX(2,INT((H4/(H4+$B$7))/0.025)-11),TRUE))*(H4/(H4+$B$7)-INT((H4/(H4+$B$7))/0.025)*0.025)/0.025+(VLOOKUP(0.01*H4/$B$6+0.05,$N$24:$AK$57,MAX(2,INT((H4/(H4+$B$7))/0.025)-11),TRUE)-VLOOKUP(0.01*H4/$B$6,$N$24:$AK$57,MAX(2,INT((H4/(H4+$B$7))/0.025)-11),TRUE))*(0.01*H4/$B$6-INT((0.01*H4/$B$6)/0.05)*0.05)/0.05),0),"")</f>
        <v>0.9022720000000001</v>
      </c>
      <c r="L4" s="23">
        <f aca="true" t="shared" si="2" ref="L4:L35">IF(H4&gt;0,IF(K4&gt;0,LOOKUP(K4*H4*$B$5/((H4+$B$7)*$B$4),$N$4:$N$19,$O$4:$O$19)+(LOOKUP(K4*H4*$B$5/((H4+$B$7)*$B$4)+0.05,$N$4:$N$19,$O$4:$O$19)-LOOKUP(K4*H4*$B$5/((H4+$B$7)*$B$4),$N$4:$N$19,$O$4:$O$19))*(K4*H4*$B$5/((H4+$B$7)*$B$4)-INT(K4*H4*$B$5/((H4+$B$7)*$B$4)/0.05)*0.05)/0.05,0),"")</f>
        <v>1.0168954239999999</v>
      </c>
      <c r="M4" s="4"/>
      <c r="N4" s="4">
        <v>0</v>
      </c>
      <c r="O4" s="4">
        <v>1</v>
      </c>
      <c r="P4" s="4"/>
      <c r="Q4" s="4"/>
      <c r="R4" s="4"/>
      <c r="S4" s="4"/>
      <c r="T4" s="4"/>
      <c r="U4" s="4"/>
      <c r="V4" s="4"/>
      <c r="W4" s="4"/>
      <c r="X4" s="4"/>
      <c r="Y4" s="4"/>
      <c r="Z4" s="4"/>
      <c r="AA4" s="4"/>
      <c r="AB4" s="4"/>
      <c r="AC4" s="4"/>
      <c r="AD4" s="4"/>
      <c r="AE4" s="4"/>
      <c r="AF4" s="4"/>
      <c r="AG4" s="4"/>
      <c r="AH4" s="4"/>
      <c r="AI4" s="4"/>
      <c r="AJ4" s="4"/>
      <c r="AK4" s="4"/>
      <c r="AL4" s="3"/>
    </row>
    <row r="5" spans="1:38" ht="12.75">
      <c r="A5" t="s">
        <v>16</v>
      </c>
      <c r="B5" s="9">
        <v>8</v>
      </c>
      <c r="C5" s="6" t="s">
        <v>14</v>
      </c>
      <c r="D5" s="10">
        <v>37426</v>
      </c>
      <c r="E5" s="11">
        <v>0.9618055555555555</v>
      </c>
      <c r="F5" s="11" t="s">
        <v>17</v>
      </c>
      <c r="G5" s="11"/>
      <c r="H5" s="2">
        <v>10</v>
      </c>
      <c r="I5" s="12">
        <f aca="true" t="shared" si="3" ref="I5:I68">IF(AND(H5&gt;0,K5&gt;0,L5&gt;0,J5=""),(K5*L5*2/3*(2/3*9.81)^0.5*$B$5*(H5/100)^1.5)*1000,"")</f>
        <v>367.0376712396136</v>
      </c>
      <c r="J5" s="13">
        <f t="shared" si="0"/>
      </c>
      <c r="K5" s="4">
        <f t="shared" si="1"/>
        <v>0.848</v>
      </c>
      <c r="L5" s="23">
        <f t="shared" si="2"/>
        <v>1.0035226666666666</v>
      </c>
      <c r="M5" s="4"/>
      <c r="N5" s="4">
        <v>0.05</v>
      </c>
      <c r="O5" s="4">
        <v>1.001</v>
      </c>
      <c r="P5" s="4"/>
      <c r="Q5" s="4"/>
      <c r="R5" s="4"/>
      <c r="S5" s="4"/>
      <c r="T5" s="4"/>
      <c r="U5" s="4"/>
      <c r="V5" s="4"/>
      <c r="W5" s="4"/>
      <c r="X5" s="4"/>
      <c r="Y5" s="4"/>
      <c r="Z5" s="4"/>
      <c r="AA5" s="4"/>
      <c r="AB5" s="4"/>
      <c r="AC5" s="4"/>
      <c r="AD5" s="4"/>
      <c r="AE5" s="4"/>
      <c r="AF5" s="4"/>
      <c r="AG5" s="4"/>
      <c r="AH5" s="4"/>
      <c r="AI5" s="4"/>
      <c r="AJ5" s="4"/>
      <c r="AK5" s="4"/>
      <c r="AL5" s="3"/>
    </row>
    <row r="6" spans="1:38" ht="12.75">
      <c r="A6" t="s">
        <v>65</v>
      </c>
      <c r="B6" s="9">
        <v>0.4</v>
      </c>
      <c r="C6" s="6" t="s">
        <v>14</v>
      </c>
      <c r="D6" s="10"/>
      <c r="E6" s="11"/>
      <c r="F6" s="11"/>
      <c r="G6" s="11"/>
      <c r="H6" s="2">
        <v>6</v>
      </c>
      <c r="I6" s="12">
        <f t="shared" si="3"/>
        <v>170.30912849987357</v>
      </c>
      <c r="J6" s="13">
        <f t="shared" si="0"/>
      </c>
      <c r="K6" s="4">
        <f t="shared" si="1"/>
        <v>0.848</v>
      </c>
      <c r="L6" s="23">
        <f t="shared" si="2"/>
        <v>1.0019074285714284</v>
      </c>
      <c r="M6" s="4"/>
      <c r="N6" s="4">
        <v>0.1</v>
      </c>
      <c r="O6" s="4">
        <v>1.003</v>
      </c>
      <c r="P6" s="4"/>
      <c r="Q6" s="4"/>
      <c r="R6" s="4"/>
      <c r="S6" s="4"/>
      <c r="T6" s="4"/>
      <c r="U6" s="4"/>
      <c r="V6" s="4"/>
      <c r="W6" s="4"/>
      <c r="X6" s="4"/>
      <c r="Y6" s="4"/>
      <c r="Z6" s="4"/>
      <c r="AA6" s="4"/>
      <c r="AB6" s="4"/>
      <c r="AC6" s="4"/>
      <c r="AD6" s="4"/>
      <c r="AE6" s="4"/>
      <c r="AF6" s="4"/>
      <c r="AG6" s="4"/>
      <c r="AH6" s="4"/>
      <c r="AI6" s="4"/>
      <c r="AJ6" s="4"/>
      <c r="AK6" s="4"/>
      <c r="AL6" s="3"/>
    </row>
    <row r="7" spans="1:38" ht="12.75">
      <c r="A7" t="s">
        <v>20</v>
      </c>
      <c r="B7" s="9">
        <v>50</v>
      </c>
      <c r="C7" s="6" t="s">
        <v>21</v>
      </c>
      <c r="D7" s="10"/>
      <c r="E7" s="2"/>
      <c r="F7" s="2"/>
      <c r="G7" s="2"/>
      <c r="H7" s="2"/>
      <c r="I7" s="12">
        <f t="shared" si="3"/>
      </c>
      <c r="J7" s="13">
        <f t="shared" si="0"/>
      </c>
      <c r="K7" s="4">
        <f t="shared" si="1"/>
      </c>
      <c r="L7" s="23">
        <f t="shared" si="2"/>
      </c>
      <c r="M7" s="4"/>
      <c r="N7" s="4">
        <v>0.15</v>
      </c>
      <c r="O7" s="4">
        <v>1.005</v>
      </c>
      <c r="P7" s="4"/>
      <c r="Q7" s="4"/>
      <c r="R7" s="4"/>
      <c r="S7" s="4"/>
      <c r="T7" s="4"/>
      <c r="U7" s="4"/>
      <c r="V7" s="4"/>
      <c r="W7" s="4"/>
      <c r="X7" s="4"/>
      <c r="Y7" s="4"/>
      <c r="Z7" s="4"/>
      <c r="AA7" s="4"/>
      <c r="AB7" s="4"/>
      <c r="AC7" s="4"/>
      <c r="AD7" s="4"/>
      <c r="AE7" s="4"/>
      <c r="AF7" s="4"/>
      <c r="AG7" s="4"/>
      <c r="AH7" s="4"/>
      <c r="AI7" s="4"/>
      <c r="AJ7" s="4"/>
      <c r="AK7" s="4"/>
      <c r="AL7" s="3"/>
    </row>
    <row r="8" spans="1:38" ht="15">
      <c r="A8" t="s">
        <v>72</v>
      </c>
      <c r="B8" s="14">
        <v>3</v>
      </c>
      <c r="C8" s="6" t="s">
        <v>14</v>
      </c>
      <c r="D8" s="10"/>
      <c r="E8" s="2"/>
      <c r="F8" s="2"/>
      <c r="G8" s="2"/>
      <c r="H8" s="2"/>
      <c r="I8" s="12">
        <f t="shared" si="3"/>
      </c>
      <c r="J8" s="13">
        <f t="shared" si="0"/>
      </c>
      <c r="K8" s="4">
        <f t="shared" si="1"/>
      </c>
      <c r="L8" s="23">
        <f t="shared" si="2"/>
      </c>
      <c r="M8" s="4"/>
      <c r="N8" s="4">
        <v>0.2</v>
      </c>
      <c r="O8" s="4">
        <v>1.009</v>
      </c>
      <c r="P8" s="4"/>
      <c r="Q8" s="4"/>
      <c r="R8" s="4"/>
      <c r="S8" s="4"/>
      <c r="T8" s="4"/>
      <c r="U8" s="4"/>
      <c r="V8" s="4"/>
      <c r="W8" s="4"/>
      <c r="X8" s="4"/>
      <c r="Y8" s="4"/>
      <c r="Z8" s="4"/>
      <c r="AA8" s="4"/>
      <c r="AB8" s="4"/>
      <c r="AC8" s="4"/>
      <c r="AD8" s="4"/>
      <c r="AE8" s="4"/>
      <c r="AF8" s="4"/>
      <c r="AG8" s="4"/>
      <c r="AH8" s="4"/>
      <c r="AI8" s="4"/>
      <c r="AJ8" s="4"/>
      <c r="AK8" s="4"/>
      <c r="AL8" s="3"/>
    </row>
    <row r="9" spans="1:38" ht="15">
      <c r="A9" s="3" t="s">
        <v>47</v>
      </c>
      <c r="B9" s="32">
        <f>MAX(6,8*B6)</f>
        <v>6</v>
      </c>
      <c r="C9" s="3" t="s">
        <v>21</v>
      </c>
      <c r="D9" s="10"/>
      <c r="E9" s="2"/>
      <c r="F9" s="2"/>
      <c r="G9" s="2"/>
      <c r="H9" s="2"/>
      <c r="I9" s="12">
        <f t="shared" si="3"/>
      </c>
      <c r="J9" s="13">
        <f t="shared" si="0"/>
      </c>
      <c r="K9" s="4">
        <f t="shared" si="1"/>
      </c>
      <c r="L9" s="23">
        <f t="shared" si="2"/>
      </c>
      <c r="M9" s="4"/>
      <c r="N9" s="4">
        <v>0.25</v>
      </c>
      <c r="O9" s="4">
        <v>1.014</v>
      </c>
      <c r="P9" s="4"/>
      <c r="Q9" s="4"/>
      <c r="R9" s="4"/>
      <c r="S9" s="4"/>
      <c r="T9" s="4"/>
      <c r="U9" s="4"/>
      <c r="V9" s="4"/>
      <c r="W9" s="4"/>
      <c r="X9" s="4"/>
      <c r="Y9" s="4"/>
      <c r="Z9" s="4"/>
      <c r="AA9" s="4"/>
      <c r="AB9" s="4"/>
      <c r="AC9" s="4"/>
      <c r="AD9" s="4"/>
      <c r="AE9" s="4"/>
      <c r="AF9" s="4"/>
      <c r="AG9" s="4"/>
      <c r="AH9" s="4"/>
      <c r="AI9" s="4"/>
      <c r="AJ9" s="4"/>
      <c r="AK9" s="4"/>
      <c r="AL9" s="3"/>
    </row>
    <row r="10" spans="1:38" ht="15">
      <c r="A10" s="3" t="s">
        <v>48</v>
      </c>
      <c r="B10" s="32">
        <f>INT(MIN(IF(MIN(1.5*B7,1.5*B6*100)&lt;(7*B7/13),MIN(1.5*B7,1.5*B6*100),MAX(7*B7/13,MIN(1.5*B7,0.85*B6*100))),B5*100))</f>
        <v>34</v>
      </c>
      <c r="C10" s="3" t="s">
        <v>21</v>
      </c>
      <c r="D10" s="10"/>
      <c r="E10" s="2"/>
      <c r="F10" s="2"/>
      <c r="G10" s="2"/>
      <c r="H10" s="2"/>
      <c r="I10" s="12">
        <f t="shared" si="3"/>
      </c>
      <c r="J10" s="13">
        <f t="shared" si="0"/>
      </c>
      <c r="K10" s="4">
        <f t="shared" si="1"/>
      </c>
      <c r="L10" s="23">
        <f t="shared" si="2"/>
      </c>
      <c r="M10" s="4"/>
      <c r="N10" s="4">
        <v>0.3</v>
      </c>
      <c r="O10" s="4">
        <v>1.021</v>
      </c>
      <c r="P10" s="4"/>
      <c r="Q10" s="4"/>
      <c r="R10" s="4"/>
      <c r="S10" s="4"/>
      <c r="T10" s="4"/>
      <c r="U10" s="4"/>
      <c r="V10" s="4"/>
      <c r="W10" s="4"/>
      <c r="X10" s="4"/>
      <c r="Y10" s="4"/>
      <c r="Z10" s="4"/>
      <c r="AA10" s="4"/>
      <c r="AB10" s="4"/>
      <c r="AC10" s="4"/>
      <c r="AD10" s="4"/>
      <c r="AE10" s="4"/>
      <c r="AF10" s="4"/>
      <c r="AG10" s="4"/>
      <c r="AH10" s="4"/>
      <c r="AI10" s="4"/>
      <c r="AJ10" s="4"/>
      <c r="AK10" s="4"/>
      <c r="AL10" s="3"/>
    </row>
    <row r="11" spans="1:38" ht="15">
      <c r="A11" s="3" t="s">
        <v>49</v>
      </c>
      <c r="B11" s="17">
        <f>(B16*B17*2/3*(2/3*9.81)^0.5*$B$5*(B9/100)^1.5)*1000</f>
        <v>170.30912849987357</v>
      </c>
      <c r="C11" s="3" t="s">
        <v>23</v>
      </c>
      <c r="D11" s="10"/>
      <c r="E11" s="2"/>
      <c r="F11" s="2"/>
      <c r="G11" s="2"/>
      <c r="H11" s="2"/>
      <c r="I11" s="12">
        <f t="shared" si="3"/>
      </c>
      <c r="J11" s="13">
        <f t="shared" si="0"/>
      </c>
      <c r="K11" s="4">
        <f t="shared" si="1"/>
      </c>
      <c r="L11" s="23">
        <f t="shared" si="2"/>
      </c>
      <c r="M11" s="4"/>
      <c r="N11" s="4">
        <v>0.35</v>
      </c>
      <c r="O11" s="4">
        <v>1.029</v>
      </c>
      <c r="P11" s="4"/>
      <c r="Q11" s="4"/>
      <c r="R11" s="4"/>
      <c r="S11" s="4"/>
      <c r="T11" s="4"/>
      <c r="U11" s="4"/>
      <c r="V11" s="4"/>
      <c r="W11" s="4"/>
      <c r="X11" s="4"/>
      <c r="Y11" s="4"/>
      <c r="Z11" s="4"/>
      <c r="AA11" s="4"/>
      <c r="AB11" s="4"/>
      <c r="AC11" s="4"/>
      <c r="AD11" s="4"/>
      <c r="AE11" s="4"/>
      <c r="AF11" s="4"/>
      <c r="AG11" s="4"/>
      <c r="AH11" s="4"/>
      <c r="AI11" s="4"/>
      <c r="AJ11" s="4"/>
      <c r="AK11" s="4"/>
      <c r="AL11" s="3"/>
    </row>
    <row r="12" spans="1:38" ht="15">
      <c r="A12" s="3" t="s">
        <v>50</v>
      </c>
      <c r="B12" s="17">
        <f>(B18*B19*2/3*(2/3*9.81)^0.5*$B$5*(B10/100)^1.5)*1000</f>
        <v>2576.4326143519147</v>
      </c>
      <c r="C12" s="3" t="s">
        <v>23</v>
      </c>
      <c r="H12" s="2"/>
      <c r="I12" s="12">
        <f t="shared" si="3"/>
      </c>
      <c r="J12" s="13">
        <f t="shared" si="0"/>
      </c>
      <c r="K12" s="4">
        <f t="shared" si="1"/>
      </c>
      <c r="L12" s="23">
        <f t="shared" si="2"/>
      </c>
      <c r="M12" s="4"/>
      <c r="N12" s="4">
        <v>0.4</v>
      </c>
      <c r="O12" s="4">
        <v>1.039</v>
      </c>
      <c r="P12" s="4"/>
      <c r="Q12" s="4"/>
      <c r="R12" s="4"/>
      <c r="S12" s="4"/>
      <c r="T12" s="4"/>
      <c r="U12" s="4"/>
      <c r="V12" s="4"/>
      <c r="W12" s="4"/>
      <c r="X12" s="4"/>
      <c r="Y12" s="4"/>
      <c r="Z12" s="4"/>
      <c r="AA12" s="4"/>
      <c r="AB12" s="4"/>
      <c r="AC12" s="4"/>
      <c r="AD12" s="4"/>
      <c r="AE12" s="4"/>
      <c r="AF12" s="4"/>
      <c r="AG12" s="4"/>
      <c r="AH12" s="4"/>
      <c r="AI12" s="4"/>
      <c r="AJ12" s="4"/>
      <c r="AK12" s="4"/>
      <c r="AL12" s="3"/>
    </row>
    <row r="13" spans="1:38" ht="12.75">
      <c r="A13" s="4" t="s">
        <v>26</v>
      </c>
      <c r="B13" s="19">
        <f>MIN(38,0.2*B4*100,0.4*B7)</f>
        <v>20</v>
      </c>
      <c r="C13" s="3"/>
      <c r="H13" s="2"/>
      <c r="I13" s="12">
        <f t="shared" si="3"/>
      </c>
      <c r="J13" s="13">
        <f t="shared" si="0"/>
      </c>
      <c r="K13" s="4">
        <f t="shared" si="1"/>
      </c>
      <c r="L13" s="23">
        <f t="shared" si="2"/>
      </c>
      <c r="M13" s="4"/>
      <c r="N13" s="4">
        <v>0.45</v>
      </c>
      <c r="O13" s="4">
        <v>1.05</v>
      </c>
      <c r="P13" s="4"/>
      <c r="Q13" s="4"/>
      <c r="R13" s="4"/>
      <c r="S13" s="4"/>
      <c r="T13" s="4"/>
      <c r="U13" s="4"/>
      <c r="V13" s="4"/>
      <c r="W13" s="4"/>
      <c r="X13" s="4"/>
      <c r="Y13" s="4"/>
      <c r="Z13" s="4"/>
      <c r="AA13" s="4"/>
      <c r="AB13" s="4"/>
      <c r="AC13" s="4"/>
      <c r="AD13" s="4"/>
      <c r="AE13" s="4"/>
      <c r="AF13" s="4"/>
      <c r="AG13" s="4"/>
      <c r="AH13" s="4"/>
      <c r="AI13" s="4"/>
      <c r="AJ13" s="4"/>
      <c r="AK13" s="4"/>
      <c r="AL13" s="3"/>
    </row>
    <row r="14" spans="1:38" ht="12.75">
      <c r="A14" s="3"/>
      <c r="B14" s="16"/>
      <c r="C14" s="12"/>
      <c r="H14" s="2"/>
      <c r="I14" s="12">
        <f t="shared" si="3"/>
      </c>
      <c r="J14" s="13">
        <f t="shared" si="0"/>
      </c>
      <c r="K14" s="4">
        <f t="shared" si="1"/>
      </c>
      <c r="L14" s="23">
        <f t="shared" si="2"/>
      </c>
      <c r="M14" s="4"/>
      <c r="N14" s="4">
        <v>0.5</v>
      </c>
      <c r="O14" s="4">
        <v>1.064</v>
      </c>
      <c r="P14" s="4"/>
      <c r="Q14" s="4"/>
      <c r="R14" s="4"/>
      <c r="S14" s="4"/>
      <c r="T14" s="4"/>
      <c r="U14" s="4"/>
      <c r="V14" s="4"/>
      <c r="W14" s="4"/>
      <c r="X14" s="4"/>
      <c r="Y14" s="4"/>
      <c r="Z14" s="4"/>
      <c r="AA14" s="4"/>
      <c r="AB14" s="4"/>
      <c r="AC14" s="4"/>
      <c r="AD14" s="4"/>
      <c r="AE14" s="4"/>
      <c r="AF14" s="4"/>
      <c r="AG14" s="4"/>
      <c r="AH14" s="4"/>
      <c r="AI14" s="4"/>
      <c r="AJ14" s="4"/>
      <c r="AK14" s="4"/>
      <c r="AL14" s="3"/>
    </row>
    <row r="15" spans="1:38" ht="12.75">
      <c r="A15" s="3"/>
      <c r="B15" s="16"/>
      <c r="C15" s="3"/>
      <c r="H15" s="2"/>
      <c r="I15" s="12">
        <f t="shared" si="3"/>
      </c>
      <c r="J15" s="13">
        <f t="shared" si="0"/>
      </c>
      <c r="K15" s="4">
        <f t="shared" si="1"/>
      </c>
      <c r="L15" s="23">
        <f t="shared" si="2"/>
      </c>
      <c r="M15" s="4"/>
      <c r="N15" s="4">
        <v>0.55</v>
      </c>
      <c r="O15" s="4">
        <v>1.079</v>
      </c>
      <c r="P15" s="4"/>
      <c r="Q15" s="4"/>
      <c r="R15" s="4"/>
      <c r="S15" s="4"/>
      <c r="T15" s="4"/>
      <c r="U15" s="4"/>
      <c r="V15" s="4"/>
      <c r="W15" s="4"/>
      <c r="X15" s="4"/>
      <c r="Y15" s="4"/>
      <c r="Z15" s="4"/>
      <c r="AA15" s="4"/>
      <c r="AB15" s="4"/>
      <c r="AC15" s="4"/>
      <c r="AD15" s="4"/>
      <c r="AE15" s="4"/>
      <c r="AF15" s="4"/>
      <c r="AG15" s="4"/>
      <c r="AH15" s="4"/>
      <c r="AI15" s="4"/>
      <c r="AJ15" s="4"/>
      <c r="AK15" s="4"/>
      <c r="AL15" s="3"/>
    </row>
    <row r="16" spans="1:38" ht="12.75">
      <c r="A16" s="4" t="s">
        <v>66</v>
      </c>
      <c r="B16" s="4">
        <f>0.848*(VLOOKUP(0.01*B9/$B$6,$N$24:$Z$54,MAX(2,INT((B9/(B9+$B$7))/0.025)-11),TRUE)+(VLOOKUP(0.01*B9/$B$6,$N$24:$Z$54,MAX(2,INT((B9/(B9+$B$7))/0.025)-10),TRUE)-VLOOKUP(0.01*B9/$B$6,$N$24:$Z$54,MAX(2,INT((B9/(B9+$B$7))/0.025)-11),TRUE))*(B9/(B9+$B$7)-INT((B9/(B9+$B$7))/0.025)*0.025)/0.025+(VLOOKUP(0.01*B9/$B$6+0.05,$N$24:$Z$54,MAX(2,INT((B9/(B9+$B$7))/0.025)-11),TRUE)-VLOOKUP(0.01*B9/$B$6,$N$24:$Z$54,MAX(2,INT((B9/(B9+$B$7))/0.025)-11),TRUE))*(0.01*B9/$B$6-INT((0.01*B9/$B$6)/0.05)*0.05)/0.05)</f>
        <v>0.848</v>
      </c>
      <c r="C16" s="3"/>
      <c r="D16" s="20"/>
      <c r="H16" s="2"/>
      <c r="I16" s="12">
        <f t="shared" si="3"/>
      </c>
      <c r="J16" s="13">
        <f t="shared" si="0"/>
      </c>
      <c r="K16" s="4">
        <f t="shared" si="1"/>
      </c>
      <c r="L16" s="23">
        <f t="shared" si="2"/>
      </c>
      <c r="M16" s="4"/>
      <c r="N16" s="4">
        <v>0.6</v>
      </c>
      <c r="O16" s="4">
        <v>1.098</v>
      </c>
      <c r="P16" s="4"/>
      <c r="Q16" s="4"/>
      <c r="R16" s="4"/>
      <c r="S16" s="4"/>
      <c r="T16" s="4"/>
      <c r="U16" s="4"/>
      <c r="V16" s="4"/>
      <c r="W16" s="4"/>
      <c r="X16" s="4"/>
      <c r="Y16" s="4"/>
      <c r="Z16" s="4"/>
      <c r="AA16" s="4"/>
      <c r="AB16" s="4"/>
      <c r="AC16" s="4"/>
      <c r="AD16" s="4"/>
      <c r="AE16" s="4"/>
      <c r="AF16" s="4"/>
      <c r="AG16" s="4"/>
      <c r="AH16" s="4"/>
      <c r="AI16" s="4"/>
      <c r="AJ16" s="4"/>
      <c r="AK16" s="4"/>
      <c r="AL16" s="3"/>
    </row>
    <row r="17" spans="1:38" ht="12.75">
      <c r="A17" s="4" t="s">
        <v>67</v>
      </c>
      <c r="B17" s="23">
        <f>LOOKUP(B16*B9*$B$5/((B9+$B$7)*$B$4),$N$4:$N$19,$O$4:$O$19)+(LOOKUP(B16*B9*$B$5/((B9+$B$7)*$B$4)+0.05,$N$4:$N$19,$O$4:$O$19)-LOOKUP(B16*B9*$B$5/((B9+$B$7)*$B$4),$N$4:$N$19,$O$4:$O$19))*(B16*B9*$B$5/((B9+$B$7)*$B$4)-INT(B16*B9*$B$5/((B9+$B$7)*$B$4)/0.05)*0.05)/0.05</f>
        <v>1.0019074285714284</v>
      </c>
      <c r="C17" s="3"/>
      <c r="H17" s="2"/>
      <c r="I17" s="12">
        <f t="shared" si="3"/>
      </c>
      <c r="J17" s="13">
        <f t="shared" si="0"/>
      </c>
      <c r="K17" s="4">
        <f t="shared" si="1"/>
      </c>
      <c r="L17" s="23">
        <f t="shared" si="2"/>
      </c>
      <c r="M17" s="4"/>
      <c r="N17" s="4">
        <v>0.65</v>
      </c>
      <c r="O17" s="4">
        <v>1.12</v>
      </c>
      <c r="P17" s="4"/>
      <c r="Q17" s="4"/>
      <c r="R17" s="4"/>
      <c r="S17" s="4"/>
      <c r="T17" s="4"/>
      <c r="U17" s="4"/>
      <c r="V17" s="4"/>
      <c r="W17" s="4"/>
      <c r="X17" s="4"/>
      <c r="Y17" s="4"/>
      <c r="Z17" s="4"/>
      <c r="AA17" s="4"/>
      <c r="AB17" s="4"/>
      <c r="AC17" s="4"/>
      <c r="AD17" s="4"/>
      <c r="AE17" s="4"/>
      <c r="AF17" s="4"/>
      <c r="AG17" s="4"/>
      <c r="AH17" s="4"/>
      <c r="AI17" s="4"/>
      <c r="AJ17" s="4"/>
      <c r="AK17" s="4"/>
      <c r="AL17" s="3"/>
    </row>
    <row r="18" spans="1:38" ht="12.75">
      <c r="A18" s="4" t="s">
        <v>68</v>
      </c>
      <c r="B18" s="4">
        <f>0.848*(VLOOKUP(0.01*B10/$B$6,$N$24:$Z$54,MAX(2,INT((B10/(B10+$B$7))/0.025)-11),TRUE)+(VLOOKUP(0.01*B10/$B$6,$N$24:$Z$54,MAX(2,INT((B10/(B10+$B$7))/0.025)-10),TRUE)-VLOOKUP(0.01*B10/$B$6,$N$24:$Z$54,MAX(2,INT((B10/(B10+$B$7))/0.025)-11),TRUE))*(B10/(B10+$B$7)-INT((B10/(B10+$B$7))/0.025)*0.025)/0.025+(VLOOKUP(0.01*B10/$B$6+0.05,$N$24:$Z$54,MAX(2,INT((B10/(B10+$B$7))/0.025)-11),TRUE)-VLOOKUP(0.01*B10/$B$6,$N$24:$Z$54,MAX(2,INT((B10/(B10+$B$7))/0.025)-11),TRUE))*(0.01*B10/$B$6-INT((0.01*B10/$B$6)/0.05)*0.05)/0.05)</f>
        <v>0.9329211428590259</v>
      </c>
      <c r="C18" s="3"/>
      <c r="H18" s="2"/>
      <c r="I18" s="12">
        <f t="shared" si="3"/>
      </c>
      <c r="J18" s="13">
        <f t="shared" si="0"/>
      </c>
      <c r="K18" s="4">
        <f t="shared" si="1"/>
      </c>
      <c r="L18" s="23">
        <f t="shared" si="2"/>
      </c>
      <c r="M18" s="4"/>
      <c r="N18" s="4">
        <v>0.7</v>
      </c>
      <c r="O18" s="4">
        <v>1.146</v>
      </c>
      <c r="P18" s="4"/>
      <c r="Q18" s="4"/>
      <c r="R18" s="4"/>
      <c r="S18" s="4"/>
      <c r="T18" s="4"/>
      <c r="U18" s="4"/>
      <c r="V18" s="4"/>
      <c r="W18" s="4"/>
      <c r="X18" s="4"/>
      <c r="Y18" s="4"/>
      <c r="Z18" s="4"/>
      <c r="AA18" s="4"/>
      <c r="AB18" s="4"/>
      <c r="AC18" s="4"/>
      <c r="AD18" s="4"/>
      <c r="AE18" s="4"/>
      <c r="AF18" s="4"/>
      <c r="AG18" s="4"/>
      <c r="AH18" s="4"/>
      <c r="AI18" s="4"/>
      <c r="AJ18" s="4"/>
      <c r="AK18" s="4"/>
      <c r="AL18" s="3"/>
    </row>
    <row r="19" spans="1:38" ht="12.75">
      <c r="A19" s="4" t="s">
        <v>69</v>
      </c>
      <c r="B19" s="23">
        <f>LOOKUP(B18*B10*$B$5/((B10+$B$7)*$B$4),$N$4:$N$19,$O$4:$O$19)+(LOOKUP(B18*B10*$B$5/((B10+$B$7)*$B$4)+0.05,$N$4:$N$19,$O$4:$O$19)-LOOKUP(B18*B10*$B$5/((B10+$B$7)*$B$4),$N$4:$N$19,$O$4:$O$19))*(B18*B10*$B$5/((B10+$B$7)*$B$4)-INT(B18*B10*$B$5/((B10+$B$7)*$B$4)/0.05)*0.05)/0.05</f>
        <v>1.0213342001633627</v>
      </c>
      <c r="C19" s="3"/>
      <c r="H19" s="2"/>
      <c r="I19" s="12">
        <f t="shared" si="3"/>
      </c>
      <c r="J19" s="13">
        <f t="shared" si="0"/>
      </c>
      <c r="K19" s="4">
        <f t="shared" si="1"/>
      </c>
      <c r="L19" s="23">
        <f t="shared" si="2"/>
      </c>
      <c r="M19" s="4"/>
      <c r="N19" s="4">
        <v>0.75</v>
      </c>
      <c r="O19" s="4">
        <v>1.18</v>
      </c>
      <c r="P19" s="4"/>
      <c r="Q19" s="4"/>
      <c r="R19" s="4"/>
      <c r="S19" s="4"/>
      <c r="T19" s="4"/>
      <c r="U19" s="4"/>
      <c r="V19" s="4"/>
      <c r="W19" s="4"/>
      <c r="X19" s="4"/>
      <c r="Y19" s="4"/>
      <c r="Z19" s="4"/>
      <c r="AA19" s="4"/>
      <c r="AB19" s="4"/>
      <c r="AC19" s="4"/>
      <c r="AD19" s="4"/>
      <c r="AE19" s="4"/>
      <c r="AF19" s="4"/>
      <c r="AG19" s="4"/>
      <c r="AH19" s="4"/>
      <c r="AI19" s="4"/>
      <c r="AJ19" s="4"/>
      <c r="AK19" s="4"/>
      <c r="AL19" s="3"/>
    </row>
    <row r="20" spans="1:38" ht="12.75">
      <c r="A20" s="3"/>
      <c r="B20" s="3"/>
      <c r="C20" s="3"/>
      <c r="H20" s="2"/>
      <c r="I20" s="12">
        <f t="shared" si="3"/>
      </c>
      <c r="J20" s="13">
        <f t="shared" si="0"/>
      </c>
      <c r="K20" s="4">
        <f t="shared" si="1"/>
      </c>
      <c r="L20" s="23">
        <f t="shared" si="2"/>
      </c>
      <c r="M20" s="4"/>
      <c r="N20" s="4"/>
      <c r="O20" s="4"/>
      <c r="P20" s="4"/>
      <c r="Q20" s="4"/>
      <c r="R20" s="4"/>
      <c r="S20" s="4"/>
      <c r="T20" s="4"/>
      <c r="U20" s="4"/>
      <c r="V20" s="4"/>
      <c r="W20" s="4"/>
      <c r="X20" s="4"/>
      <c r="Y20" s="4"/>
      <c r="Z20" s="4"/>
      <c r="AA20" s="4"/>
      <c r="AB20" s="4"/>
      <c r="AC20" s="4"/>
      <c r="AD20" s="4"/>
      <c r="AE20" s="4"/>
      <c r="AF20" s="4"/>
      <c r="AG20" s="4"/>
      <c r="AH20" s="4"/>
      <c r="AI20" s="4"/>
      <c r="AJ20" s="4"/>
      <c r="AK20" s="4"/>
      <c r="AL20" s="3"/>
    </row>
    <row r="21" spans="1:38" ht="12.75">
      <c r="A21" s="3"/>
      <c r="B21" s="3"/>
      <c r="C21" s="3"/>
      <c r="H21" s="2"/>
      <c r="I21" s="12">
        <f t="shared" si="3"/>
      </c>
      <c r="J21" s="13">
        <f t="shared" si="0"/>
      </c>
      <c r="K21" s="4">
        <f t="shared" si="1"/>
      </c>
      <c r="L21" s="23">
        <f t="shared" si="2"/>
      </c>
      <c r="M21" s="4"/>
      <c r="N21" s="4" t="s">
        <v>70</v>
      </c>
      <c r="O21" s="4"/>
      <c r="P21" s="4"/>
      <c r="Q21" s="4"/>
      <c r="R21" s="4"/>
      <c r="S21" s="4"/>
      <c r="T21" s="4"/>
      <c r="U21" s="4"/>
      <c r="V21" s="4"/>
      <c r="W21" s="4"/>
      <c r="X21" s="4"/>
      <c r="Y21" s="4"/>
      <c r="Z21" s="4"/>
      <c r="AA21" s="4"/>
      <c r="AB21" s="4"/>
      <c r="AC21" s="4"/>
      <c r="AD21" s="4"/>
      <c r="AE21" s="4"/>
      <c r="AF21" s="4"/>
      <c r="AG21" s="4"/>
      <c r="AH21" s="4"/>
      <c r="AI21" s="4"/>
      <c r="AJ21" s="4"/>
      <c r="AK21" s="4"/>
      <c r="AL21" s="3"/>
    </row>
    <row r="22" spans="1:38" ht="12.75">
      <c r="A22" s="3" t="s">
        <v>31</v>
      </c>
      <c r="B22" s="3"/>
      <c r="C22" s="3"/>
      <c r="H22" s="2"/>
      <c r="I22" s="12">
        <f t="shared" si="3"/>
      </c>
      <c r="J22" s="13">
        <f t="shared" si="0"/>
      </c>
      <c r="K22" s="4">
        <f t="shared" si="1"/>
      </c>
      <c r="L22" s="23">
        <f t="shared" si="2"/>
      </c>
      <c r="M22" s="4"/>
      <c r="N22" s="4" t="s">
        <v>71</v>
      </c>
      <c r="O22" s="4"/>
      <c r="P22" s="4"/>
      <c r="Q22" s="4"/>
      <c r="R22" s="4"/>
      <c r="S22" s="4"/>
      <c r="T22" s="4"/>
      <c r="U22" s="4"/>
      <c r="V22" s="4"/>
      <c r="W22" s="4"/>
      <c r="X22" s="4"/>
      <c r="Y22" s="4"/>
      <c r="Z22" s="4"/>
      <c r="AA22" s="4"/>
      <c r="AB22" s="4"/>
      <c r="AC22" s="4"/>
      <c r="AD22" s="4"/>
      <c r="AE22" s="4"/>
      <c r="AF22" s="4"/>
      <c r="AG22" s="4"/>
      <c r="AH22" s="4"/>
      <c r="AI22" s="4"/>
      <c r="AJ22" s="4"/>
      <c r="AK22" s="4"/>
      <c r="AL22" s="3"/>
    </row>
    <row r="23" spans="1:38" ht="12.75">
      <c r="A23" s="35">
        <f>IF(B7&lt;15,"Þröskuldurinn verður að vera að minnsta kosti 15 cm hár","")</f>
      </c>
      <c r="B23" s="3"/>
      <c r="C23" s="3"/>
      <c r="H23" s="2"/>
      <c r="I23" s="12">
        <f t="shared" si="3"/>
      </c>
      <c r="J23" s="13">
        <f t="shared" si="0"/>
      </c>
      <c r="K23" s="4">
        <f t="shared" si="1"/>
      </c>
      <c r="L23" s="23">
        <f t="shared" si="2"/>
      </c>
      <c r="M23" s="4"/>
      <c r="N23" s="4"/>
      <c r="O23" s="4">
        <v>0</v>
      </c>
      <c r="P23" s="33">
        <v>0.35</v>
      </c>
      <c r="Q23" s="33">
        <v>0.375</v>
      </c>
      <c r="R23" s="33">
        <v>0.4</v>
      </c>
      <c r="S23" s="39">
        <v>0.425</v>
      </c>
      <c r="T23" s="39">
        <v>0.45</v>
      </c>
      <c r="U23" s="39">
        <v>0.475</v>
      </c>
      <c r="V23" s="39">
        <v>0.5</v>
      </c>
      <c r="W23" s="39">
        <v>0.525</v>
      </c>
      <c r="X23" s="39">
        <v>0.55</v>
      </c>
      <c r="Y23" s="39">
        <v>0.575</v>
      </c>
      <c r="Z23" s="39">
        <v>0.6</v>
      </c>
      <c r="AA23" s="33">
        <v>-999</v>
      </c>
      <c r="AB23" s="33">
        <v>-999</v>
      </c>
      <c r="AC23" s="33">
        <v>-999</v>
      </c>
      <c r="AD23" s="33">
        <v>-999</v>
      </c>
      <c r="AE23" s="33">
        <v>-999</v>
      </c>
      <c r="AF23" s="33">
        <v>-999</v>
      </c>
      <c r="AG23" s="33">
        <v>-999</v>
      </c>
      <c r="AH23" s="33">
        <v>-999</v>
      </c>
      <c r="AI23" s="33">
        <v>-999</v>
      </c>
      <c r="AJ23" s="33">
        <v>-999</v>
      </c>
      <c r="AK23" s="33">
        <v>-999</v>
      </c>
      <c r="AL23" s="3"/>
    </row>
    <row r="24" spans="1:38" ht="12.75">
      <c r="A24" s="35">
        <f>IF(OR(B5&lt;0.3,B5&lt;B6*5),"Yfirfallið á að vera breiðara, þ.e. b verður að vera a.m.k. "&amp;MAX(0.3,5*B6)&amp;" metrar eða þykkt yfirfallsins minni","")</f>
      </c>
      <c r="B24" s="3"/>
      <c r="C24" s="3"/>
      <c r="H24" s="2"/>
      <c r="I24" s="12">
        <f t="shared" si="3"/>
      </c>
      <c r="J24" s="13">
        <f t="shared" si="0"/>
      </c>
      <c r="K24" s="4">
        <f t="shared" si="1"/>
      </c>
      <c r="L24" s="23">
        <f t="shared" si="2"/>
      </c>
      <c r="M24" s="4"/>
      <c r="N24" s="4">
        <v>0</v>
      </c>
      <c r="O24" s="33">
        <v>1</v>
      </c>
      <c r="P24" s="33">
        <v>1</v>
      </c>
      <c r="Q24" s="33">
        <v>1.006</v>
      </c>
      <c r="R24" s="33">
        <v>1.012</v>
      </c>
      <c r="S24" s="33">
        <f>(R24+T24)/2</f>
        <v>1.017</v>
      </c>
      <c r="T24" s="33">
        <v>1.022</v>
      </c>
      <c r="U24" s="33">
        <f>(T24+V24)/2</f>
        <v>1.0270000000000001</v>
      </c>
      <c r="V24" s="33">
        <v>1.032</v>
      </c>
      <c r="W24" s="33">
        <f aca="true" t="shared" si="4" ref="W24:W41">(V24+X24)/2</f>
        <v>1.038</v>
      </c>
      <c r="X24" s="33">
        <v>1.044</v>
      </c>
      <c r="Y24" s="33">
        <f aca="true" t="shared" si="5" ref="Y24:Y41">(X24+Z24)/2</f>
        <v>1.0510000000000002</v>
      </c>
      <c r="Z24" s="33">
        <v>1.058</v>
      </c>
      <c r="AA24" s="33">
        <v>-999</v>
      </c>
      <c r="AB24" s="33">
        <v>-999</v>
      </c>
      <c r="AC24" s="33">
        <v>-999</v>
      </c>
      <c r="AD24" s="33">
        <v>-999</v>
      </c>
      <c r="AE24" s="33">
        <v>-999</v>
      </c>
      <c r="AF24" s="33">
        <v>-999</v>
      </c>
      <c r="AG24" s="33">
        <v>-999</v>
      </c>
      <c r="AH24" s="33">
        <v>-999</v>
      </c>
      <c r="AI24" s="33">
        <v>-999</v>
      </c>
      <c r="AJ24" s="33">
        <v>-999</v>
      </c>
      <c r="AK24" s="33">
        <v>-999</v>
      </c>
      <c r="AL24" s="3"/>
    </row>
    <row r="25" spans="1:38" ht="12.75">
      <c r="A25" s="35"/>
      <c r="B25" s="3"/>
      <c r="C25" s="3"/>
      <c r="H25" s="2"/>
      <c r="I25" s="12">
        <f t="shared" si="3"/>
      </c>
      <c r="J25" s="13">
        <f t="shared" si="0"/>
      </c>
      <c r="K25" s="4">
        <f t="shared" si="1"/>
      </c>
      <c r="L25" s="23">
        <f t="shared" si="2"/>
      </c>
      <c r="M25" s="4"/>
      <c r="N25" s="4">
        <v>0.05</v>
      </c>
      <c r="O25" s="33">
        <v>1</v>
      </c>
      <c r="P25" s="33">
        <v>1</v>
      </c>
      <c r="Q25" s="33">
        <v>1.006</v>
      </c>
      <c r="R25" s="33">
        <v>1.012</v>
      </c>
      <c r="S25" s="33">
        <f>(R25+T25)/2</f>
        <v>1.017</v>
      </c>
      <c r="T25" s="33">
        <v>1.022</v>
      </c>
      <c r="U25" s="33">
        <f>(T25+V25)/2</f>
        <v>1.0270000000000001</v>
      </c>
      <c r="V25" s="33">
        <v>1.032</v>
      </c>
      <c r="W25" s="33">
        <f t="shared" si="4"/>
        <v>1.038</v>
      </c>
      <c r="X25" s="33">
        <v>1.044</v>
      </c>
      <c r="Y25" s="33">
        <f t="shared" si="5"/>
        <v>1.0510000000000002</v>
      </c>
      <c r="Z25" s="33">
        <v>1.058</v>
      </c>
      <c r="AA25" s="33">
        <v>-999</v>
      </c>
      <c r="AB25" s="33">
        <v>-999</v>
      </c>
      <c r="AC25" s="33">
        <v>-999</v>
      </c>
      <c r="AD25" s="33">
        <v>-999</v>
      </c>
      <c r="AE25" s="33">
        <v>-999</v>
      </c>
      <c r="AF25" s="33">
        <v>-999</v>
      </c>
      <c r="AG25" s="33">
        <v>-999</v>
      </c>
      <c r="AH25" s="33">
        <v>-999</v>
      </c>
      <c r="AI25" s="33">
        <v>-999</v>
      </c>
      <c r="AJ25" s="33">
        <v>-999</v>
      </c>
      <c r="AK25" s="33">
        <v>-999</v>
      </c>
      <c r="AL25" s="3"/>
    </row>
    <row r="26" spans="1:38" ht="12.75">
      <c r="A26" s="35"/>
      <c r="B26" s="3"/>
      <c r="C26" s="3"/>
      <c r="H26" s="2"/>
      <c r="I26" s="12">
        <f t="shared" si="3"/>
      </c>
      <c r="J26" s="13">
        <f t="shared" si="0"/>
      </c>
      <c r="K26" s="4">
        <f t="shared" si="1"/>
      </c>
      <c r="L26" s="23">
        <f t="shared" si="2"/>
      </c>
      <c r="M26" s="4"/>
      <c r="N26" s="4">
        <v>0.1</v>
      </c>
      <c r="O26" s="33">
        <v>1</v>
      </c>
      <c r="P26" s="33">
        <v>1</v>
      </c>
      <c r="Q26" s="33">
        <v>1.006</v>
      </c>
      <c r="R26" s="33">
        <v>1.012</v>
      </c>
      <c r="S26" s="33">
        <f>(R26+T26)/2</f>
        <v>1.017</v>
      </c>
      <c r="T26" s="33">
        <v>1.022</v>
      </c>
      <c r="U26" s="33">
        <f>(T26+V26)/2</f>
        <v>1.0270000000000001</v>
      </c>
      <c r="V26" s="33">
        <v>1.032</v>
      </c>
      <c r="W26" s="33">
        <f t="shared" si="4"/>
        <v>1.038</v>
      </c>
      <c r="X26" s="33">
        <v>1.044</v>
      </c>
      <c r="Y26" s="33">
        <f t="shared" si="5"/>
        <v>1.0510000000000002</v>
      </c>
      <c r="Z26" s="33">
        <v>1.058</v>
      </c>
      <c r="AA26" s="33">
        <v>-999</v>
      </c>
      <c r="AB26" s="33">
        <v>-999</v>
      </c>
      <c r="AC26" s="33">
        <v>-999</v>
      </c>
      <c r="AD26" s="33">
        <v>-999</v>
      </c>
      <c r="AE26" s="33">
        <v>-999</v>
      </c>
      <c r="AF26" s="33">
        <v>-999</v>
      </c>
      <c r="AG26" s="33">
        <v>-999</v>
      </c>
      <c r="AH26" s="33">
        <v>-999</v>
      </c>
      <c r="AI26" s="33">
        <v>-999</v>
      </c>
      <c r="AJ26" s="33">
        <v>-999</v>
      </c>
      <c r="AK26" s="33">
        <v>-999</v>
      </c>
      <c r="AL26" s="3"/>
    </row>
    <row r="27" spans="1:38" ht="12.75">
      <c r="A27" s="35"/>
      <c r="B27" s="3"/>
      <c r="C27" s="3"/>
      <c r="H27" s="2"/>
      <c r="I27" s="12">
        <f t="shared" si="3"/>
      </c>
      <c r="J27" s="13">
        <f t="shared" si="0"/>
      </c>
      <c r="K27" s="4">
        <f t="shared" si="1"/>
      </c>
      <c r="L27" s="23">
        <f t="shared" si="2"/>
      </c>
      <c r="M27" s="4"/>
      <c r="N27" s="4">
        <v>0.15</v>
      </c>
      <c r="O27" s="33">
        <v>1</v>
      </c>
      <c r="P27" s="33">
        <v>1</v>
      </c>
      <c r="Q27" s="33">
        <v>1.006</v>
      </c>
      <c r="R27" s="33">
        <v>1.012</v>
      </c>
      <c r="S27" s="33">
        <f aca="true" t="shared" si="6" ref="S27:U41">(R27+T27)/2</f>
        <v>1.017</v>
      </c>
      <c r="T27" s="33">
        <v>1.022</v>
      </c>
      <c r="U27" s="33">
        <f t="shared" si="6"/>
        <v>1.0270000000000001</v>
      </c>
      <c r="V27" s="33">
        <v>1.032</v>
      </c>
      <c r="W27" s="33">
        <f t="shared" si="4"/>
        <v>1.038</v>
      </c>
      <c r="X27" s="33">
        <v>1.044</v>
      </c>
      <c r="Y27" s="33">
        <f t="shared" si="5"/>
        <v>1.0510000000000002</v>
      </c>
      <c r="Z27" s="33">
        <v>1.058</v>
      </c>
      <c r="AA27" s="33">
        <v>-999</v>
      </c>
      <c r="AB27" s="33">
        <v>-999</v>
      </c>
      <c r="AC27" s="33">
        <v>-999</v>
      </c>
      <c r="AD27" s="33">
        <v>-999</v>
      </c>
      <c r="AE27" s="33">
        <v>-999</v>
      </c>
      <c r="AF27" s="33">
        <v>-999</v>
      </c>
      <c r="AG27" s="33">
        <v>-999</v>
      </c>
      <c r="AH27" s="33">
        <v>-999</v>
      </c>
      <c r="AI27" s="33">
        <v>-999</v>
      </c>
      <c r="AJ27" s="33">
        <v>-999</v>
      </c>
      <c r="AK27" s="33">
        <v>-999</v>
      </c>
      <c r="AL27" s="3"/>
    </row>
    <row r="28" spans="1:38" ht="12.75">
      <c r="A28" s="3"/>
      <c r="B28" s="3"/>
      <c r="C28" s="3"/>
      <c r="I28" s="12">
        <f t="shared" si="3"/>
      </c>
      <c r="J28" s="13">
        <f t="shared" si="0"/>
      </c>
      <c r="K28" s="4">
        <f t="shared" si="1"/>
      </c>
      <c r="L28" s="23">
        <f t="shared" si="2"/>
      </c>
      <c r="M28" s="4"/>
      <c r="N28" s="4">
        <v>0.2</v>
      </c>
      <c r="O28" s="33">
        <v>1</v>
      </c>
      <c r="P28" s="33">
        <v>1</v>
      </c>
      <c r="Q28" s="33">
        <v>1.006</v>
      </c>
      <c r="R28" s="33">
        <v>1.012</v>
      </c>
      <c r="S28" s="33">
        <f t="shared" si="6"/>
        <v>1.017</v>
      </c>
      <c r="T28" s="33">
        <v>1.022</v>
      </c>
      <c r="U28" s="33">
        <f t="shared" si="6"/>
        <v>1.0270000000000001</v>
      </c>
      <c r="V28" s="33">
        <v>1.032</v>
      </c>
      <c r="W28" s="33">
        <f t="shared" si="4"/>
        <v>1.038</v>
      </c>
      <c r="X28" s="33">
        <v>1.044</v>
      </c>
      <c r="Y28" s="33">
        <f t="shared" si="5"/>
        <v>1.0510000000000002</v>
      </c>
      <c r="Z28" s="33">
        <v>1.058</v>
      </c>
      <c r="AA28" s="33">
        <v>-999</v>
      </c>
      <c r="AB28" s="33">
        <v>-999</v>
      </c>
      <c r="AC28" s="33">
        <v>-999</v>
      </c>
      <c r="AD28" s="33">
        <v>-999</v>
      </c>
      <c r="AE28" s="33">
        <v>-999</v>
      </c>
      <c r="AF28" s="33">
        <v>-999</v>
      </c>
      <c r="AG28" s="33">
        <v>-999</v>
      </c>
      <c r="AH28" s="33">
        <v>-999</v>
      </c>
      <c r="AI28" s="33">
        <v>-999</v>
      </c>
      <c r="AJ28" s="33">
        <v>-999</v>
      </c>
      <c r="AK28" s="33">
        <v>-999</v>
      </c>
      <c r="AL28" s="3"/>
    </row>
    <row r="29" spans="1:38" ht="12.75">
      <c r="A29" s="3"/>
      <c r="B29" s="3"/>
      <c r="C29" s="3"/>
      <c r="I29" s="12">
        <f t="shared" si="3"/>
      </c>
      <c r="J29" s="13">
        <f t="shared" si="0"/>
      </c>
      <c r="K29" s="4">
        <f t="shared" si="1"/>
      </c>
      <c r="L29" s="23">
        <f t="shared" si="2"/>
      </c>
      <c r="M29" s="4"/>
      <c r="N29" s="4">
        <v>0.25</v>
      </c>
      <c r="O29" s="33">
        <v>1</v>
      </c>
      <c r="P29" s="33">
        <v>1</v>
      </c>
      <c r="Q29" s="33">
        <v>1.006</v>
      </c>
      <c r="R29" s="33">
        <v>1.012</v>
      </c>
      <c r="S29" s="33">
        <f t="shared" si="6"/>
        <v>1.017</v>
      </c>
      <c r="T29" s="33">
        <v>1.022</v>
      </c>
      <c r="U29" s="33">
        <f t="shared" si="6"/>
        <v>1.0270000000000001</v>
      </c>
      <c r="V29" s="33">
        <v>1.032</v>
      </c>
      <c r="W29" s="33">
        <f t="shared" si="4"/>
        <v>1.038</v>
      </c>
      <c r="X29" s="33">
        <v>1.044</v>
      </c>
      <c r="Y29" s="33">
        <f t="shared" si="5"/>
        <v>1.0510000000000002</v>
      </c>
      <c r="Z29" s="33">
        <v>1.058</v>
      </c>
      <c r="AA29" s="33">
        <v>-999</v>
      </c>
      <c r="AB29" s="33">
        <v>-999</v>
      </c>
      <c r="AC29" s="33">
        <v>-999</v>
      </c>
      <c r="AD29" s="33">
        <v>-999</v>
      </c>
      <c r="AE29" s="33">
        <v>-999</v>
      </c>
      <c r="AF29" s="33">
        <v>-999</v>
      </c>
      <c r="AG29" s="33">
        <v>-999</v>
      </c>
      <c r="AH29" s="33">
        <v>-999</v>
      </c>
      <c r="AI29" s="33">
        <v>-999</v>
      </c>
      <c r="AJ29" s="33">
        <v>-999</v>
      </c>
      <c r="AK29" s="33">
        <v>-999</v>
      </c>
      <c r="AL29" s="3"/>
    </row>
    <row r="30" spans="1:38" ht="12.75">
      <c r="A30" s="3"/>
      <c r="B30" s="3"/>
      <c r="C30" s="3"/>
      <c r="I30" s="12">
        <f t="shared" si="3"/>
      </c>
      <c r="J30" s="13">
        <f t="shared" si="0"/>
      </c>
      <c r="K30" s="4">
        <f t="shared" si="1"/>
      </c>
      <c r="L30" s="23">
        <f t="shared" si="2"/>
      </c>
      <c r="M30" s="4"/>
      <c r="N30" s="4">
        <v>0.3</v>
      </c>
      <c r="O30" s="33">
        <v>1</v>
      </c>
      <c r="P30" s="33">
        <v>1</v>
      </c>
      <c r="Q30" s="33">
        <v>1.006</v>
      </c>
      <c r="R30" s="33">
        <v>1.012</v>
      </c>
      <c r="S30" s="33">
        <f t="shared" si="6"/>
        <v>1.017</v>
      </c>
      <c r="T30" s="33">
        <v>1.022</v>
      </c>
      <c r="U30" s="33">
        <f t="shared" si="6"/>
        <v>1.0270000000000001</v>
      </c>
      <c r="V30" s="33">
        <v>1.032</v>
      </c>
      <c r="W30" s="33">
        <f t="shared" si="4"/>
        <v>1.038</v>
      </c>
      <c r="X30" s="33">
        <v>1.044</v>
      </c>
      <c r="Y30" s="33">
        <f t="shared" si="5"/>
        <v>1.0510000000000002</v>
      </c>
      <c r="Z30" s="33">
        <v>1.058</v>
      </c>
      <c r="AA30" s="33">
        <v>-999</v>
      </c>
      <c r="AB30" s="33">
        <v>-999</v>
      </c>
      <c r="AC30" s="33">
        <v>-999</v>
      </c>
      <c r="AD30" s="33">
        <v>-999</v>
      </c>
      <c r="AE30" s="33">
        <v>-999</v>
      </c>
      <c r="AF30" s="33">
        <v>-999</v>
      </c>
      <c r="AG30" s="33">
        <v>-999</v>
      </c>
      <c r="AH30" s="33">
        <v>-999</v>
      </c>
      <c r="AI30" s="33">
        <v>-999</v>
      </c>
      <c r="AJ30" s="33">
        <v>-999</v>
      </c>
      <c r="AK30" s="33">
        <v>-999</v>
      </c>
      <c r="AL30" s="3"/>
    </row>
    <row r="31" spans="1:38" ht="12.75">
      <c r="A31" s="3"/>
      <c r="B31" s="3"/>
      <c r="C31" s="3"/>
      <c r="I31" s="12">
        <f t="shared" si="3"/>
      </c>
      <c r="J31" s="13">
        <f t="shared" si="0"/>
      </c>
      <c r="K31" s="4">
        <f t="shared" si="1"/>
      </c>
      <c r="L31" s="23">
        <f t="shared" si="2"/>
      </c>
      <c r="M31" s="4"/>
      <c r="N31" s="4">
        <v>0.35</v>
      </c>
      <c r="O31" s="33">
        <v>1</v>
      </c>
      <c r="P31" s="33">
        <v>1</v>
      </c>
      <c r="Q31" s="33">
        <v>1.007</v>
      </c>
      <c r="R31" s="33">
        <v>1.012</v>
      </c>
      <c r="S31" s="33">
        <f t="shared" si="6"/>
        <v>1.0175</v>
      </c>
      <c r="T31" s="33">
        <v>1.023</v>
      </c>
      <c r="U31" s="33">
        <f t="shared" si="6"/>
        <v>1.028</v>
      </c>
      <c r="V31" s="33">
        <v>1.033</v>
      </c>
      <c r="W31" s="33">
        <f t="shared" si="4"/>
        <v>1.0385</v>
      </c>
      <c r="X31" s="33">
        <v>1.044</v>
      </c>
      <c r="Y31" s="33">
        <f t="shared" si="5"/>
        <v>1.0514999999999999</v>
      </c>
      <c r="Z31" s="33">
        <v>1.059</v>
      </c>
      <c r="AA31" s="33">
        <v>-999</v>
      </c>
      <c r="AB31" s="33">
        <v>-999</v>
      </c>
      <c r="AC31" s="33">
        <v>-999</v>
      </c>
      <c r="AD31" s="33">
        <v>-999</v>
      </c>
      <c r="AE31" s="33">
        <v>-999</v>
      </c>
      <c r="AF31" s="33">
        <v>-999</v>
      </c>
      <c r="AG31" s="33">
        <v>-999</v>
      </c>
      <c r="AH31" s="33">
        <v>-999</v>
      </c>
      <c r="AI31" s="33">
        <v>-999</v>
      </c>
      <c r="AJ31" s="33">
        <v>-999</v>
      </c>
      <c r="AK31" s="33">
        <v>-999</v>
      </c>
      <c r="AL31" s="3"/>
    </row>
    <row r="32" spans="1:38" ht="12.75">
      <c r="A32" s="3"/>
      <c r="B32" s="3"/>
      <c r="C32" s="3"/>
      <c r="I32" s="12">
        <f t="shared" si="3"/>
      </c>
      <c r="J32" s="13">
        <f t="shared" si="0"/>
      </c>
      <c r="K32" s="4">
        <f t="shared" si="1"/>
      </c>
      <c r="L32" s="23">
        <f t="shared" si="2"/>
      </c>
      <c r="M32" s="4"/>
      <c r="N32" s="4">
        <v>0.4</v>
      </c>
      <c r="O32" s="33">
        <v>1.003</v>
      </c>
      <c r="P32" s="33">
        <v>1.003</v>
      </c>
      <c r="Q32" s="33">
        <v>1.009</v>
      </c>
      <c r="R32" s="33">
        <v>1.014</v>
      </c>
      <c r="S32" s="33">
        <f t="shared" si="6"/>
        <v>1.0194999999999999</v>
      </c>
      <c r="T32" s="33">
        <v>1.025</v>
      </c>
      <c r="U32" s="33">
        <f t="shared" si="6"/>
        <v>1.0299999999999998</v>
      </c>
      <c r="V32" s="33">
        <v>1.035</v>
      </c>
      <c r="W32" s="33">
        <f t="shared" si="4"/>
        <v>1.041</v>
      </c>
      <c r="X32" s="33">
        <v>1.047</v>
      </c>
      <c r="Y32" s="33">
        <f t="shared" si="5"/>
        <v>1.0539999999999998</v>
      </c>
      <c r="Z32" s="33">
        <v>1.061</v>
      </c>
      <c r="AA32" s="33">
        <v>-999</v>
      </c>
      <c r="AB32" s="33">
        <v>-999</v>
      </c>
      <c r="AC32" s="33">
        <v>-999</v>
      </c>
      <c r="AD32" s="33">
        <v>-999</v>
      </c>
      <c r="AE32" s="33">
        <v>-999</v>
      </c>
      <c r="AF32" s="33">
        <v>-999</v>
      </c>
      <c r="AG32" s="33">
        <v>-999</v>
      </c>
      <c r="AH32" s="33">
        <v>-999</v>
      </c>
      <c r="AI32" s="33">
        <v>-999</v>
      </c>
      <c r="AJ32" s="33">
        <v>-999</v>
      </c>
      <c r="AK32" s="33">
        <v>-999</v>
      </c>
      <c r="AL32" s="3"/>
    </row>
    <row r="33" spans="1:38" ht="12.75">
      <c r="A33" s="3"/>
      <c r="B33" s="3"/>
      <c r="C33" s="3"/>
      <c r="I33" s="12">
        <f t="shared" si="3"/>
      </c>
      <c r="J33" s="13">
        <f t="shared" si="0"/>
      </c>
      <c r="K33" s="4">
        <f t="shared" si="1"/>
      </c>
      <c r="L33" s="23">
        <f t="shared" si="2"/>
      </c>
      <c r="M33" s="4"/>
      <c r="N33" s="4">
        <v>0.45</v>
      </c>
      <c r="O33" s="33">
        <v>1.007</v>
      </c>
      <c r="P33" s="33">
        <v>1.007</v>
      </c>
      <c r="Q33" s="33">
        <v>1.014</v>
      </c>
      <c r="R33" s="33">
        <v>1.019</v>
      </c>
      <c r="S33" s="33">
        <f t="shared" si="6"/>
        <v>1.0245</v>
      </c>
      <c r="T33" s="33">
        <v>1.03</v>
      </c>
      <c r="U33" s="33">
        <f t="shared" si="6"/>
        <v>1.0350000000000001</v>
      </c>
      <c r="V33" s="33">
        <v>1.04</v>
      </c>
      <c r="W33" s="33">
        <f t="shared" si="4"/>
        <v>1.046</v>
      </c>
      <c r="X33" s="33">
        <v>1.052</v>
      </c>
      <c r="Y33" s="33">
        <f t="shared" si="5"/>
        <v>1.0590000000000002</v>
      </c>
      <c r="Z33" s="33">
        <v>1.066</v>
      </c>
      <c r="AA33" s="33">
        <v>-999</v>
      </c>
      <c r="AB33" s="33">
        <v>-999</v>
      </c>
      <c r="AC33" s="33">
        <v>-999</v>
      </c>
      <c r="AD33" s="33">
        <v>-999</v>
      </c>
      <c r="AE33" s="33">
        <v>-999</v>
      </c>
      <c r="AF33" s="33">
        <v>-999</v>
      </c>
      <c r="AG33" s="33">
        <v>-999</v>
      </c>
      <c r="AH33" s="33">
        <v>-999</v>
      </c>
      <c r="AI33" s="33">
        <v>-999</v>
      </c>
      <c r="AJ33" s="33">
        <v>-999</v>
      </c>
      <c r="AK33" s="33">
        <v>-999</v>
      </c>
      <c r="AL33" s="3"/>
    </row>
    <row r="34" spans="1:38" ht="12.75">
      <c r="A34" s="3"/>
      <c r="B34" s="3"/>
      <c r="C34" s="3"/>
      <c r="I34" s="12">
        <f t="shared" si="3"/>
      </c>
      <c r="J34" s="13">
        <f t="shared" si="0"/>
      </c>
      <c r="K34" s="4">
        <f t="shared" si="1"/>
      </c>
      <c r="L34" s="23">
        <f t="shared" si="2"/>
      </c>
      <c r="M34" s="4"/>
      <c r="N34" s="4">
        <v>0.5</v>
      </c>
      <c r="O34" s="33">
        <v>1.015</v>
      </c>
      <c r="P34" s="33">
        <v>1.015</v>
      </c>
      <c r="Q34" s="33">
        <v>1.02</v>
      </c>
      <c r="R34" s="33">
        <v>1.026</v>
      </c>
      <c r="S34" s="33">
        <f t="shared" si="6"/>
        <v>1.0314999999999999</v>
      </c>
      <c r="T34" s="33">
        <v>1.037</v>
      </c>
      <c r="U34" s="33">
        <f t="shared" si="6"/>
        <v>1.0419999999999998</v>
      </c>
      <c r="V34" s="33">
        <v>1.047</v>
      </c>
      <c r="W34" s="33">
        <f t="shared" si="4"/>
        <v>1.053</v>
      </c>
      <c r="X34" s="33">
        <v>1.059</v>
      </c>
      <c r="Y34" s="33">
        <f t="shared" si="5"/>
        <v>1.0665</v>
      </c>
      <c r="Z34" s="33">
        <v>1.074</v>
      </c>
      <c r="AA34" s="33">
        <v>-999</v>
      </c>
      <c r="AB34" s="33">
        <v>-999</v>
      </c>
      <c r="AC34" s="33">
        <v>-999</v>
      </c>
      <c r="AD34" s="33">
        <v>-999</v>
      </c>
      <c r="AE34" s="33">
        <v>-999</v>
      </c>
      <c r="AF34" s="33">
        <v>-999</v>
      </c>
      <c r="AG34" s="33">
        <v>-999</v>
      </c>
      <c r="AH34" s="33">
        <v>-999</v>
      </c>
      <c r="AI34" s="33">
        <v>-999</v>
      </c>
      <c r="AJ34" s="33">
        <v>-999</v>
      </c>
      <c r="AK34" s="33">
        <v>-999</v>
      </c>
      <c r="AL34" s="3"/>
    </row>
    <row r="35" spans="1:38" ht="12.75">
      <c r="A35" s="3"/>
      <c r="B35" s="3"/>
      <c r="C35" s="3"/>
      <c r="I35" s="12">
        <f t="shared" si="3"/>
      </c>
      <c r="J35" s="13">
        <f t="shared" si="0"/>
      </c>
      <c r="K35" s="4">
        <f t="shared" si="1"/>
      </c>
      <c r="L35" s="23">
        <f t="shared" si="2"/>
      </c>
      <c r="M35" s="4"/>
      <c r="N35" s="4">
        <v>0.55</v>
      </c>
      <c r="O35" s="33">
        <v>1.023</v>
      </c>
      <c r="P35" s="33">
        <v>1.023</v>
      </c>
      <c r="Q35" s="33">
        <v>1.029</v>
      </c>
      <c r="R35" s="33">
        <v>1.035</v>
      </c>
      <c r="S35" s="33">
        <f t="shared" si="6"/>
        <v>1.0405</v>
      </c>
      <c r="T35" s="33">
        <v>1.046</v>
      </c>
      <c r="U35" s="33">
        <f t="shared" si="6"/>
        <v>1.0510000000000002</v>
      </c>
      <c r="V35" s="33">
        <v>1.056</v>
      </c>
      <c r="W35" s="33">
        <f t="shared" si="4"/>
        <v>1.062</v>
      </c>
      <c r="X35" s="33">
        <v>1.068</v>
      </c>
      <c r="Y35" s="33">
        <f t="shared" si="5"/>
        <v>1.0755</v>
      </c>
      <c r="Z35" s="33">
        <v>1.083</v>
      </c>
      <c r="AA35" s="33">
        <v>-999</v>
      </c>
      <c r="AB35" s="33">
        <v>-999</v>
      </c>
      <c r="AC35" s="33">
        <v>-999</v>
      </c>
      <c r="AD35" s="33">
        <v>-999</v>
      </c>
      <c r="AE35" s="33">
        <v>-999</v>
      </c>
      <c r="AF35" s="33">
        <v>-999</v>
      </c>
      <c r="AG35" s="33">
        <v>-999</v>
      </c>
      <c r="AH35" s="33">
        <v>-999</v>
      </c>
      <c r="AI35" s="33">
        <v>-999</v>
      </c>
      <c r="AJ35" s="33">
        <v>-999</v>
      </c>
      <c r="AK35" s="33">
        <v>-999</v>
      </c>
      <c r="AL35" s="3"/>
    </row>
    <row r="36" spans="1:38" ht="12.75">
      <c r="A36" s="3"/>
      <c r="B36" s="3"/>
      <c r="C36" s="3"/>
      <c r="I36" s="12">
        <f t="shared" si="3"/>
      </c>
      <c r="J36" s="13">
        <f aca="true" t="shared" si="7" ref="J36:J67">IF(H36="","",IF(AND(A$23="",A$24=""),IF(H36&gt;$B$10,"Ekki er hægt að reikna rennsli fyrir svo háa vatnshæð",IF(H36&lt;$B$9,"Ekki er hægt að reikna rennsli fyrir svo lága vatnshæð",IF(AND(H36&gt;0,OR(K36=0,L36=0)),"Ekki er hægt að reikna rennsli fyrir þessa vatnshæð",""))),"Ekki er hægt að reikna rennsli fyrir þetta yfirfall"))</f>
      </c>
      <c r="K36" s="4">
        <f aca="true" t="shared" si="8" ref="K36:K67">IF(H36&gt;0,IF((VLOOKUP(0.01*H36/$B$6,$N$24:$AK$57,MAX(2,INT((H36/(H36+$B$7))/0.025)-11),TRUE)+(VLOOKUP(0.01*H36/$B$6,$N$24:$AK$57,MAX(2,INT((H36/(H36+$B$7))/0.025)-10),TRUE)-VLOOKUP(0.01*H36/$B$6,$N$24:$AK$57,MAX(2,INT((H36/(H36+$B$7))/0.025)-11),TRUE))*(H36/(H36+$B$7)-INT((H36/(H36+$B$7))/0.025)*0.025)/0.025+(VLOOKUP(0.01*H36/$B$6+0.05,$N$24:$AK$57,MAX(2,INT((H36/(H36+$B$7))/0.025)-11),TRUE)-VLOOKUP(0.01*H36/$B$6,$N$24:$AK$57,MAX(2,INT((H36/(H36+$B$7))/0.025)-11),TRUE))*(0.01*H36/$B$6-INT((0.01*H36/$B$6)/0.05)*0.05)/0.05)&gt;0,0.848*(VLOOKUP(0.01*H36/$B$6,$N$24:$AK$57,MAX(2,INT((H36/(H36+$B$7))/0.025)-11),TRUE)+(VLOOKUP(0.01*H36/$B$6,$N$24:$AK$57,MAX(2,INT((H36/(H36+$B$7))/0.025)-10),TRUE)-VLOOKUP(0.01*H36/$B$6,$N$24:$AK$57,MAX(2,INT((H36/(H36+$B$7))/0.025)-11),TRUE))*(H36/(H36+$B$7)-INT((H36/(H36+$B$7))/0.025)*0.025)/0.025+(VLOOKUP(0.01*H36/$B$6+0.05,$N$24:$AK$57,MAX(2,INT((H36/(H36+$B$7))/0.025)-11),TRUE)-VLOOKUP(0.01*H36/$B$6,$N$24:$AK$57,MAX(2,INT((H36/(H36+$B$7))/0.025)-11),TRUE))*(0.01*H36/$B$6-INT((0.01*H36/$B$6)/0.05)*0.05)/0.05),0),"")</f>
      </c>
      <c r="L36" s="23">
        <f aca="true" t="shared" si="9" ref="L36:L67">IF(H36&gt;0,IF(K36&gt;0,LOOKUP(K36*H36*$B$5/((H36+$B$7)*$B$4),$N$4:$N$19,$O$4:$O$19)+(LOOKUP(K36*H36*$B$5/((H36+$B$7)*$B$4)+0.05,$N$4:$N$19,$O$4:$O$19)-LOOKUP(K36*H36*$B$5/((H36+$B$7)*$B$4),$N$4:$N$19,$O$4:$O$19))*(K36*H36*$B$5/((H36+$B$7)*$B$4)-INT(K36*H36*$B$5/((H36+$B$7)*$B$4)/0.05)*0.05)/0.05,0),"")</f>
      </c>
      <c r="M36" s="4"/>
      <c r="N36" s="4">
        <v>0.6</v>
      </c>
      <c r="O36" s="33">
        <v>1.034</v>
      </c>
      <c r="P36" s="33">
        <v>1.034</v>
      </c>
      <c r="Q36" s="33">
        <v>1.04</v>
      </c>
      <c r="R36" s="33">
        <v>1.045</v>
      </c>
      <c r="S36" s="33">
        <f t="shared" si="6"/>
        <v>1.0505</v>
      </c>
      <c r="T36" s="33">
        <v>1.056</v>
      </c>
      <c r="U36" s="33">
        <f t="shared" si="6"/>
        <v>1.0615</v>
      </c>
      <c r="V36" s="33">
        <v>1.067</v>
      </c>
      <c r="W36" s="33">
        <f t="shared" si="4"/>
        <v>1.073</v>
      </c>
      <c r="X36" s="33">
        <v>1.079</v>
      </c>
      <c r="Y36" s="33">
        <f t="shared" si="5"/>
        <v>1.0859999999999999</v>
      </c>
      <c r="Z36" s="33">
        <v>1.093</v>
      </c>
      <c r="AA36" s="33">
        <v>-999</v>
      </c>
      <c r="AB36" s="33">
        <v>-999</v>
      </c>
      <c r="AC36" s="33">
        <v>-999</v>
      </c>
      <c r="AD36" s="33">
        <v>-999</v>
      </c>
      <c r="AE36" s="33">
        <v>-999</v>
      </c>
      <c r="AF36" s="33">
        <v>-999</v>
      </c>
      <c r="AG36" s="33">
        <v>-999</v>
      </c>
      <c r="AH36" s="33">
        <v>-999</v>
      </c>
      <c r="AI36" s="33">
        <v>-999</v>
      </c>
      <c r="AJ36" s="33">
        <v>-999</v>
      </c>
      <c r="AK36" s="33">
        <v>-999</v>
      </c>
      <c r="AL36" s="3"/>
    </row>
    <row r="37" spans="1:38" ht="12.75">
      <c r="A37" s="3"/>
      <c r="B37" s="3"/>
      <c r="C37" s="3"/>
      <c r="I37" s="12">
        <f t="shared" si="3"/>
      </c>
      <c r="J37" s="13">
        <f t="shared" si="7"/>
      </c>
      <c r="K37" s="4">
        <f t="shared" si="8"/>
      </c>
      <c r="L37" s="23">
        <f t="shared" si="9"/>
      </c>
      <c r="M37" s="4"/>
      <c r="N37" s="4">
        <v>0.65</v>
      </c>
      <c r="O37" s="33">
        <v>1.046</v>
      </c>
      <c r="P37" s="33">
        <v>1.046</v>
      </c>
      <c r="Q37" s="33">
        <v>1.052</v>
      </c>
      <c r="R37" s="33">
        <v>1.057</v>
      </c>
      <c r="S37" s="33">
        <f t="shared" si="6"/>
        <v>1.0625</v>
      </c>
      <c r="T37" s="33">
        <v>1.068</v>
      </c>
      <c r="U37" s="33">
        <f t="shared" si="6"/>
        <v>1.0735000000000001</v>
      </c>
      <c r="V37" s="33">
        <v>1.079</v>
      </c>
      <c r="W37" s="33">
        <f t="shared" si="4"/>
        <v>1.0855000000000001</v>
      </c>
      <c r="X37" s="33">
        <v>1.092</v>
      </c>
      <c r="Y37" s="33">
        <f t="shared" si="5"/>
        <v>1.0995</v>
      </c>
      <c r="Z37" s="33">
        <v>1.107</v>
      </c>
      <c r="AA37" s="33">
        <v>-999</v>
      </c>
      <c r="AB37" s="33">
        <v>-999</v>
      </c>
      <c r="AC37" s="33">
        <v>-999</v>
      </c>
      <c r="AD37" s="33">
        <v>-999</v>
      </c>
      <c r="AE37" s="33">
        <v>-999</v>
      </c>
      <c r="AF37" s="33">
        <v>-999</v>
      </c>
      <c r="AG37" s="33">
        <v>-999</v>
      </c>
      <c r="AH37" s="33">
        <v>-999</v>
      </c>
      <c r="AI37" s="33">
        <v>-999</v>
      </c>
      <c r="AJ37" s="33">
        <v>-999</v>
      </c>
      <c r="AK37" s="33">
        <v>-999</v>
      </c>
      <c r="AL37" s="3"/>
    </row>
    <row r="38" spans="1:38" ht="12.75">
      <c r="A38" s="3"/>
      <c r="B38" s="3"/>
      <c r="C38" s="3"/>
      <c r="I38" s="12">
        <f t="shared" si="3"/>
      </c>
      <c r="J38" s="13">
        <f t="shared" si="7"/>
      </c>
      <c r="K38" s="4">
        <f t="shared" si="8"/>
      </c>
      <c r="L38" s="23">
        <f t="shared" si="9"/>
      </c>
      <c r="M38" s="4"/>
      <c r="N38" s="4">
        <v>0.7</v>
      </c>
      <c r="O38" s="33">
        <v>1.058</v>
      </c>
      <c r="P38" s="33">
        <v>1.058</v>
      </c>
      <c r="Q38" s="33">
        <v>1.064</v>
      </c>
      <c r="R38" s="33">
        <v>1.069</v>
      </c>
      <c r="S38" s="33">
        <f t="shared" si="6"/>
        <v>1.0745</v>
      </c>
      <c r="T38" s="33">
        <v>1.08</v>
      </c>
      <c r="U38" s="33">
        <f t="shared" si="6"/>
        <v>1.0855000000000001</v>
      </c>
      <c r="V38" s="33">
        <v>1.091</v>
      </c>
      <c r="W38" s="33">
        <f t="shared" si="4"/>
        <v>1.0975000000000001</v>
      </c>
      <c r="X38" s="33">
        <v>1.104</v>
      </c>
      <c r="Y38" s="33">
        <f t="shared" si="5"/>
        <v>1.1115</v>
      </c>
      <c r="Z38" s="33">
        <v>1.119</v>
      </c>
      <c r="AA38" s="33">
        <v>-999</v>
      </c>
      <c r="AB38" s="33">
        <v>-999</v>
      </c>
      <c r="AC38" s="33">
        <v>-999</v>
      </c>
      <c r="AD38" s="33">
        <v>-999</v>
      </c>
      <c r="AE38" s="33">
        <v>-999</v>
      </c>
      <c r="AF38" s="33">
        <v>-999</v>
      </c>
      <c r="AG38" s="33">
        <v>-999</v>
      </c>
      <c r="AH38" s="33">
        <v>-999</v>
      </c>
      <c r="AI38" s="33">
        <v>-999</v>
      </c>
      <c r="AJ38" s="33">
        <v>-999</v>
      </c>
      <c r="AK38" s="33">
        <v>-999</v>
      </c>
      <c r="AL38" s="3"/>
    </row>
    <row r="39" spans="1:38" ht="12.75">
      <c r="A39" s="3"/>
      <c r="B39" s="3"/>
      <c r="C39" s="3"/>
      <c r="I39" s="12">
        <f t="shared" si="3"/>
      </c>
      <c r="J39" s="13">
        <f t="shared" si="7"/>
      </c>
      <c r="K39" s="4">
        <f t="shared" si="8"/>
      </c>
      <c r="L39" s="23">
        <f t="shared" si="9"/>
      </c>
      <c r="M39" s="4"/>
      <c r="N39" s="4">
        <v>0.75</v>
      </c>
      <c r="O39" s="33">
        <v>1.07</v>
      </c>
      <c r="P39" s="33">
        <v>1.07</v>
      </c>
      <c r="Q39" s="33">
        <v>1.076</v>
      </c>
      <c r="R39" s="33">
        <v>1.081</v>
      </c>
      <c r="S39" s="33">
        <f t="shared" si="6"/>
        <v>1.087</v>
      </c>
      <c r="T39" s="33">
        <v>1.093</v>
      </c>
      <c r="U39" s="33">
        <f t="shared" si="6"/>
        <v>1.0985</v>
      </c>
      <c r="V39" s="33">
        <v>1.104</v>
      </c>
      <c r="W39" s="33">
        <f t="shared" si="4"/>
        <v>1.1105</v>
      </c>
      <c r="X39" s="33">
        <v>1.117</v>
      </c>
      <c r="Y39" s="33">
        <f t="shared" si="5"/>
        <v>1.124</v>
      </c>
      <c r="Z39" s="33">
        <v>1.131</v>
      </c>
      <c r="AA39" s="33">
        <v>-999</v>
      </c>
      <c r="AB39" s="33">
        <v>-999</v>
      </c>
      <c r="AC39" s="33">
        <v>-999</v>
      </c>
      <c r="AD39" s="33">
        <v>-999</v>
      </c>
      <c r="AE39" s="33">
        <v>-999</v>
      </c>
      <c r="AF39" s="33">
        <v>-999</v>
      </c>
      <c r="AG39" s="33">
        <v>-999</v>
      </c>
      <c r="AH39" s="33">
        <v>-999</v>
      </c>
      <c r="AI39" s="33">
        <v>-999</v>
      </c>
      <c r="AJ39" s="33">
        <v>-999</v>
      </c>
      <c r="AK39" s="33">
        <v>-999</v>
      </c>
      <c r="AL39" s="3"/>
    </row>
    <row r="40" spans="9:38" ht="12.75">
      <c r="I40" s="12">
        <f t="shared" si="3"/>
      </c>
      <c r="J40" s="13">
        <f t="shared" si="7"/>
      </c>
      <c r="K40" s="4">
        <f t="shared" si="8"/>
      </c>
      <c r="L40" s="23">
        <f t="shared" si="9"/>
      </c>
      <c r="M40" s="4"/>
      <c r="N40" s="4">
        <v>0.8</v>
      </c>
      <c r="O40" s="33">
        <v>1.08</v>
      </c>
      <c r="P40" s="33">
        <v>1.08</v>
      </c>
      <c r="Q40" s="33">
        <v>1.086</v>
      </c>
      <c r="R40" s="33">
        <v>1.092</v>
      </c>
      <c r="S40" s="33">
        <f t="shared" si="6"/>
        <v>1.0975000000000001</v>
      </c>
      <c r="T40" s="33">
        <v>1.103</v>
      </c>
      <c r="U40" s="33">
        <f t="shared" si="6"/>
        <v>1.109</v>
      </c>
      <c r="V40" s="33">
        <v>1.115</v>
      </c>
      <c r="W40" s="33">
        <f t="shared" si="4"/>
        <v>1.1215</v>
      </c>
      <c r="X40" s="33">
        <v>1.128</v>
      </c>
      <c r="Y40" s="33">
        <f t="shared" si="5"/>
        <v>1.1355</v>
      </c>
      <c r="Z40" s="33">
        <v>1.143</v>
      </c>
      <c r="AA40" s="33">
        <v>-999</v>
      </c>
      <c r="AB40" s="33">
        <v>-999</v>
      </c>
      <c r="AC40" s="33">
        <v>-999</v>
      </c>
      <c r="AD40" s="33">
        <v>-999</v>
      </c>
      <c r="AE40" s="33">
        <v>-999</v>
      </c>
      <c r="AF40" s="33">
        <v>-999</v>
      </c>
      <c r="AG40" s="33">
        <v>-999</v>
      </c>
      <c r="AH40" s="33">
        <v>-999</v>
      </c>
      <c r="AI40" s="33">
        <v>-999</v>
      </c>
      <c r="AJ40" s="33">
        <v>-999</v>
      </c>
      <c r="AK40" s="33">
        <v>-999</v>
      </c>
      <c r="AL40" s="3"/>
    </row>
    <row r="41" spans="9:38" ht="12.75">
      <c r="I41" s="12">
        <f t="shared" si="3"/>
      </c>
      <c r="J41" s="13">
        <f t="shared" si="7"/>
      </c>
      <c r="K41" s="4">
        <f t="shared" si="8"/>
      </c>
      <c r="L41" s="23">
        <f t="shared" si="9"/>
      </c>
      <c r="M41" s="4"/>
      <c r="N41" s="4">
        <v>0.85</v>
      </c>
      <c r="O41" s="33">
        <v>1.088</v>
      </c>
      <c r="P41" s="33">
        <v>1.093</v>
      </c>
      <c r="Q41" s="33">
        <v>1.093</v>
      </c>
      <c r="R41" s="33">
        <v>1.099</v>
      </c>
      <c r="S41" s="33">
        <f t="shared" si="6"/>
        <v>1.105</v>
      </c>
      <c r="T41" s="33">
        <v>1.111</v>
      </c>
      <c r="U41" s="33">
        <f t="shared" si="6"/>
        <v>1.1165</v>
      </c>
      <c r="V41" s="33">
        <v>1.122</v>
      </c>
      <c r="W41" s="33">
        <f t="shared" si="4"/>
        <v>1.129</v>
      </c>
      <c r="X41" s="33">
        <v>1.136</v>
      </c>
      <c r="Y41" s="33">
        <f t="shared" si="5"/>
        <v>1.14385</v>
      </c>
      <c r="Z41" s="33">
        <v>1.1517</v>
      </c>
      <c r="AA41" s="33">
        <v>-999</v>
      </c>
      <c r="AB41" s="33">
        <v>-999</v>
      </c>
      <c r="AC41" s="33">
        <v>-999</v>
      </c>
      <c r="AD41" s="33">
        <v>-999</v>
      </c>
      <c r="AE41" s="33">
        <v>-999</v>
      </c>
      <c r="AF41" s="33">
        <v>-999</v>
      </c>
      <c r="AG41" s="33">
        <v>-999</v>
      </c>
      <c r="AH41" s="33">
        <v>-999</v>
      </c>
      <c r="AI41" s="33">
        <v>-999</v>
      </c>
      <c r="AJ41" s="33">
        <v>-999</v>
      </c>
      <c r="AK41" s="33">
        <v>-999</v>
      </c>
      <c r="AL41" s="3"/>
    </row>
    <row r="42" spans="9:38" ht="12.75">
      <c r="I42" s="12">
        <f t="shared" si="3"/>
      </c>
      <c r="J42" s="13">
        <f t="shared" si="7"/>
      </c>
      <c r="K42" s="4">
        <f t="shared" si="8"/>
      </c>
      <c r="L42" s="23">
        <f t="shared" si="9"/>
      </c>
      <c r="M42" s="4"/>
      <c r="N42" s="4">
        <v>0.9</v>
      </c>
      <c r="O42" s="33">
        <v>1.108</v>
      </c>
      <c r="P42" s="33">
        <v>1.108</v>
      </c>
      <c r="Q42" s="33">
        <v>-999</v>
      </c>
      <c r="R42" s="33">
        <v>-999</v>
      </c>
      <c r="S42" s="33">
        <v>-999</v>
      </c>
      <c r="T42" s="33">
        <v>-999</v>
      </c>
      <c r="U42" s="33">
        <v>-999</v>
      </c>
      <c r="V42" s="33">
        <v>-999</v>
      </c>
      <c r="W42" s="33">
        <v>-999</v>
      </c>
      <c r="X42" s="33">
        <v>-999</v>
      </c>
      <c r="Y42" s="33">
        <v>-999</v>
      </c>
      <c r="Z42" s="33">
        <v>-999</v>
      </c>
      <c r="AA42" s="33">
        <v>-999</v>
      </c>
      <c r="AB42" s="33">
        <v>-999</v>
      </c>
      <c r="AC42" s="33">
        <v>-999</v>
      </c>
      <c r="AD42" s="33">
        <v>-999</v>
      </c>
      <c r="AE42" s="33">
        <v>-999</v>
      </c>
      <c r="AF42" s="33">
        <v>-999</v>
      </c>
      <c r="AG42" s="33">
        <v>-999</v>
      </c>
      <c r="AH42" s="33">
        <v>-999</v>
      </c>
      <c r="AI42" s="33">
        <v>-999</v>
      </c>
      <c r="AJ42" s="33">
        <v>-999</v>
      </c>
      <c r="AK42" s="33">
        <v>-999</v>
      </c>
      <c r="AL42" s="3"/>
    </row>
    <row r="43" spans="9:38" ht="12.75">
      <c r="I43" s="12">
        <f t="shared" si="3"/>
      </c>
      <c r="J43" s="13">
        <f t="shared" si="7"/>
      </c>
      <c r="K43" s="4">
        <f t="shared" si="8"/>
      </c>
      <c r="L43" s="23">
        <f t="shared" si="9"/>
      </c>
      <c r="M43" s="4"/>
      <c r="N43" s="4">
        <v>0.95</v>
      </c>
      <c r="O43" s="4">
        <f>(O42+O44)/2</f>
        <v>1.1205</v>
      </c>
      <c r="P43" s="4">
        <f>(P42+P44)/2</f>
        <v>1.1205</v>
      </c>
      <c r="Q43" s="33">
        <v>-999</v>
      </c>
      <c r="R43" s="33">
        <v>-999</v>
      </c>
      <c r="S43" s="33">
        <v>-999</v>
      </c>
      <c r="T43" s="33">
        <v>-999</v>
      </c>
      <c r="U43" s="33">
        <v>-999</v>
      </c>
      <c r="V43" s="33">
        <v>-999</v>
      </c>
      <c r="W43" s="33">
        <v>-999</v>
      </c>
      <c r="X43" s="33">
        <v>-999</v>
      </c>
      <c r="Y43" s="33">
        <v>-999</v>
      </c>
      <c r="Z43" s="33">
        <v>-999</v>
      </c>
      <c r="AA43" s="33">
        <v>-999</v>
      </c>
      <c r="AB43" s="33">
        <v>-999</v>
      </c>
      <c r="AC43" s="33">
        <v>-999</v>
      </c>
      <c r="AD43" s="33">
        <v>-999</v>
      </c>
      <c r="AE43" s="33">
        <v>-999</v>
      </c>
      <c r="AF43" s="33">
        <v>-999</v>
      </c>
      <c r="AG43" s="33">
        <v>-999</v>
      </c>
      <c r="AH43" s="33">
        <v>-999</v>
      </c>
      <c r="AI43" s="33">
        <v>-999</v>
      </c>
      <c r="AJ43" s="33">
        <v>-999</v>
      </c>
      <c r="AK43" s="33">
        <v>-999</v>
      </c>
      <c r="AL43" s="3"/>
    </row>
    <row r="44" spans="9:38" ht="12.75">
      <c r="I44" s="12">
        <f t="shared" si="3"/>
      </c>
      <c r="J44" s="13">
        <f t="shared" si="7"/>
      </c>
      <c r="K44" s="4">
        <f t="shared" si="8"/>
      </c>
      <c r="L44" s="23">
        <f t="shared" si="9"/>
      </c>
      <c r="M44" s="4"/>
      <c r="N44" s="4">
        <v>1</v>
      </c>
      <c r="O44" s="33">
        <v>1.133</v>
      </c>
      <c r="P44" s="33">
        <v>1.133</v>
      </c>
      <c r="Q44" s="33">
        <v>-999</v>
      </c>
      <c r="R44" s="33">
        <v>-999</v>
      </c>
      <c r="S44" s="33">
        <v>-999</v>
      </c>
      <c r="T44" s="33">
        <v>-999</v>
      </c>
      <c r="U44" s="33">
        <v>-999</v>
      </c>
      <c r="V44" s="33">
        <v>-999</v>
      </c>
      <c r="W44" s="33">
        <v>-999</v>
      </c>
      <c r="X44" s="33">
        <v>-999</v>
      </c>
      <c r="Y44" s="33">
        <v>-999</v>
      </c>
      <c r="Z44" s="33">
        <v>-999</v>
      </c>
      <c r="AA44" s="33">
        <v>-999</v>
      </c>
      <c r="AB44" s="33">
        <v>-999</v>
      </c>
      <c r="AC44" s="33">
        <v>-999</v>
      </c>
      <c r="AD44" s="33">
        <v>-999</v>
      </c>
      <c r="AE44" s="33">
        <v>-999</v>
      </c>
      <c r="AF44" s="33">
        <v>-999</v>
      </c>
      <c r="AG44" s="33">
        <v>-999</v>
      </c>
      <c r="AH44" s="33">
        <v>-999</v>
      </c>
      <c r="AI44" s="33">
        <v>-999</v>
      </c>
      <c r="AJ44" s="33">
        <v>-999</v>
      </c>
      <c r="AK44" s="33">
        <v>-999</v>
      </c>
      <c r="AL44" s="3"/>
    </row>
    <row r="45" spans="9:38" ht="12.75">
      <c r="I45" s="12">
        <f t="shared" si="3"/>
      </c>
      <c r="J45" s="13">
        <f t="shared" si="7"/>
      </c>
      <c r="K45" s="4">
        <f t="shared" si="8"/>
      </c>
      <c r="L45" s="23">
        <f t="shared" si="9"/>
      </c>
      <c r="M45" s="4"/>
      <c r="N45" s="4">
        <v>1.05</v>
      </c>
      <c r="O45" s="4">
        <f>(O44+O46)/2</f>
        <v>1.1444999999999999</v>
      </c>
      <c r="P45" s="4">
        <f>(P44+P46)/2</f>
        <v>1.1444999999999999</v>
      </c>
      <c r="Q45" s="33">
        <v>-999</v>
      </c>
      <c r="R45" s="33">
        <v>-999</v>
      </c>
      <c r="S45" s="33">
        <v>-999</v>
      </c>
      <c r="T45" s="33">
        <v>-999</v>
      </c>
      <c r="U45" s="33">
        <v>-999</v>
      </c>
      <c r="V45" s="33">
        <v>-999</v>
      </c>
      <c r="W45" s="33">
        <v>-999</v>
      </c>
      <c r="X45" s="33">
        <v>-999</v>
      </c>
      <c r="Y45" s="33">
        <v>-999</v>
      </c>
      <c r="Z45" s="33">
        <v>-999</v>
      </c>
      <c r="AA45" s="33">
        <v>-999</v>
      </c>
      <c r="AB45" s="33">
        <v>-999</v>
      </c>
      <c r="AC45" s="33">
        <v>-999</v>
      </c>
      <c r="AD45" s="33">
        <v>-999</v>
      </c>
      <c r="AE45" s="33">
        <v>-999</v>
      </c>
      <c r="AF45" s="33">
        <v>-999</v>
      </c>
      <c r="AG45" s="33">
        <v>-999</v>
      </c>
      <c r="AH45" s="33">
        <v>-999</v>
      </c>
      <c r="AI45" s="33">
        <v>-999</v>
      </c>
      <c r="AJ45" s="33">
        <v>-999</v>
      </c>
      <c r="AK45" s="33">
        <v>-999</v>
      </c>
      <c r="AL45" s="3"/>
    </row>
    <row r="46" spans="9:38" ht="12.75">
      <c r="I46" s="12">
        <f t="shared" si="3"/>
      </c>
      <c r="J46" s="13">
        <f t="shared" si="7"/>
      </c>
      <c r="K46" s="4">
        <f t="shared" si="8"/>
      </c>
      <c r="L46" s="23">
        <f t="shared" si="9"/>
      </c>
      <c r="M46" s="4"/>
      <c r="N46" s="4">
        <v>1.1</v>
      </c>
      <c r="O46" s="33">
        <v>1.156</v>
      </c>
      <c r="P46" s="33">
        <v>1.156</v>
      </c>
      <c r="Q46" s="33">
        <v>-999</v>
      </c>
      <c r="R46" s="33">
        <v>-999</v>
      </c>
      <c r="S46" s="33">
        <v>-999</v>
      </c>
      <c r="T46" s="33">
        <v>-999</v>
      </c>
      <c r="U46" s="33">
        <v>-999</v>
      </c>
      <c r="V46" s="33">
        <v>-999</v>
      </c>
      <c r="W46" s="33">
        <v>-999</v>
      </c>
      <c r="X46" s="33">
        <v>-999</v>
      </c>
      <c r="Y46" s="33">
        <v>-999</v>
      </c>
      <c r="Z46" s="33">
        <v>-999</v>
      </c>
      <c r="AA46" s="33">
        <v>-999</v>
      </c>
      <c r="AB46" s="33">
        <v>-999</v>
      </c>
      <c r="AC46" s="33">
        <v>-999</v>
      </c>
      <c r="AD46" s="33">
        <v>-999</v>
      </c>
      <c r="AE46" s="33">
        <v>-999</v>
      </c>
      <c r="AF46" s="33">
        <v>-999</v>
      </c>
      <c r="AG46" s="33">
        <v>-999</v>
      </c>
      <c r="AH46" s="33">
        <v>-999</v>
      </c>
      <c r="AI46" s="33">
        <v>-999</v>
      </c>
      <c r="AJ46" s="33">
        <v>-999</v>
      </c>
      <c r="AK46" s="33">
        <v>-999</v>
      </c>
      <c r="AL46" s="3"/>
    </row>
    <row r="47" spans="9:38" ht="12.75">
      <c r="I47" s="12">
        <f t="shared" si="3"/>
      </c>
      <c r="J47" s="13">
        <f t="shared" si="7"/>
      </c>
      <c r="K47" s="4">
        <f t="shared" si="8"/>
      </c>
      <c r="L47" s="23">
        <f t="shared" si="9"/>
      </c>
      <c r="M47" s="4"/>
      <c r="N47" s="4">
        <v>1.15</v>
      </c>
      <c r="O47" s="4">
        <f>(O46+O48)/2</f>
        <v>1.1675</v>
      </c>
      <c r="P47" s="4">
        <f>(P46+P48)/2</f>
        <v>1.1675</v>
      </c>
      <c r="Q47" s="33">
        <v>-999</v>
      </c>
      <c r="R47" s="33">
        <v>-999</v>
      </c>
      <c r="S47" s="33">
        <v>-999</v>
      </c>
      <c r="T47" s="33">
        <v>-999</v>
      </c>
      <c r="U47" s="33">
        <v>-999</v>
      </c>
      <c r="V47" s="33">
        <v>-999</v>
      </c>
      <c r="W47" s="33">
        <v>-999</v>
      </c>
      <c r="X47" s="33">
        <v>-999</v>
      </c>
      <c r="Y47" s="33">
        <v>-999</v>
      </c>
      <c r="Z47" s="33">
        <v>-999</v>
      </c>
      <c r="AA47" s="33">
        <v>-999</v>
      </c>
      <c r="AB47" s="33">
        <v>-999</v>
      </c>
      <c r="AC47" s="33">
        <v>-999</v>
      </c>
      <c r="AD47" s="33">
        <v>-999</v>
      </c>
      <c r="AE47" s="33">
        <v>-999</v>
      </c>
      <c r="AF47" s="33">
        <v>-999</v>
      </c>
      <c r="AG47" s="33">
        <v>-999</v>
      </c>
      <c r="AH47" s="33">
        <v>-999</v>
      </c>
      <c r="AI47" s="33">
        <v>-999</v>
      </c>
      <c r="AJ47" s="33">
        <v>-999</v>
      </c>
      <c r="AK47" s="33">
        <v>-999</v>
      </c>
      <c r="AL47" s="3"/>
    </row>
    <row r="48" spans="9:38" ht="12.75">
      <c r="I48" s="12">
        <f t="shared" si="3"/>
      </c>
      <c r="J48" s="13">
        <f t="shared" si="7"/>
      </c>
      <c r="K48" s="4">
        <f t="shared" si="8"/>
      </c>
      <c r="L48" s="23">
        <f t="shared" si="9"/>
      </c>
      <c r="M48" s="4"/>
      <c r="N48" s="4">
        <v>1.2</v>
      </c>
      <c r="O48" s="4">
        <v>1.179</v>
      </c>
      <c r="P48" s="4">
        <v>1.179</v>
      </c>
      <c r="Q48" s="33">
        <v>-999</v>
      </c>
      <c r="R48" s="33">
        <v>-999</v>
      </c>
      <c r="S48" s="33">
        <v>-999</v>
      </c>
      <c r="T48" s="33">
        <v>-999</v>
      </c>
      <c r="U48" s="33">
        <v>-999</v>
      </c>
      <c r="V48" s="33">
        <v>-999</v>
      </c>
      <c r="W48" s="33">
        <v>-999</v>
      </c>
      <c r="X48" s="33">
        <v>-999</v>
      </c>
      <c r="Y48" s="33">
        <v>-999</v>
      </c>
      <c r="Z48" s="33">
        <v>-999</v>
      </c>
      <c r="AA48" s="33">
        <v>-999</v>
      </c>
      <c r="AB48" s="33">
        <v>-999</v>
      </c>
      <c r="AC48" s="33">
        <v>-999</v>
      </c>
      <c r="AD48" s="33">
        <v>-999</v>
      </c>
      <c r="AE48" s="33">
        <v>-999</v>
      </c>
      <c r="AF48" s="33">
        <v>-999</v>
      </c>
      <c r="AG48" s="33">
        <v>-999</v>
      </c>
      <c r="AH48" s="33">
        <v>-999</v>
      </c>
      <c r="AI48" s="33">
        <v>-999</v>
      </c>
      <c r="AJ48" s="33">
        <v>-999</v>
      </c>
      <c r="AK48" s="33">
        <v>-999</v>
      </c>
      <c r="AL48" s="3"/>
    </row>
    <row r="49" spans="9:38" ht="12.75">
      <c r="I49" s="12">
        <f t="shared" si="3"/>
      </c>
      <c r="J49" s="13">
        <f t="shared" si="7"/>
      </c>
      <c r="K49" s="4">
        <f t="shared" si="8"/>
      </c>
      <c r="L49" s="23">
        <f t="shared" si="9"/>
      </c>
      <c r="M49" s="4"/>
      <c r="N49" s="4">
        <v>1.25</v>
      </c>
      <c r="O49" s="4">
        <f>(O48+O50)/2</f>
        <v>1.1895</v>
      </c>
      <c r="P49" s="4">
        <f>(P48+P50)/2</f>
        <v>1.1895</v>
      </c>
      <c r="Q49" s="33">
        <v>-999</v>
      </c>
      <c r="R49" s="33">
        <v>-999</v>
      </c>
      <c r="S49" s="33">
        <v>-999</v>
      </c>
      <c r="T49" s="33">
        <v>-999</v>
      </c>
      <c r="U49" s="33">
        <v>-999</v>
      </c>
      <c r="V49" s="33">
        <v>-999</v>
      </c>
      <c r="W49" s="33">
        <v>-999</v>
      </c>
      <c r="X49" s="33">
        <v>-999</v>
      </c>
      <c r="Y49" s="33">
        <v>-999</v>
      </c>
      <c r="Z49" s="33">
        <v>-999</v>
      </c>
      <c r="AA49" s="33">
        <v>-999</v>
      </c>
      <c r="AB49" s="33">
        <v>-999</v>
      </c>
      <c r="AC49" s="33">
        <v>-999</v>
      </c>
      <c r="AD49" s="33">
        <v>-999</v>
      </c>
      <c r="AE49" s="33">
        <v>-999</v>
      </c>
      <c r="AF49" s="33">
        <v>-999</v>
      </c>
      <c r="AG49" s="33">
        <v>-999</v>
      </c>
      <c r="AH49" s="33">
        <v>-999</v>
      </c>
      <c r="AI49" s="33">
        <v>-999</v>
      </c>
      <c r="AJ49" s="33">
        <v>-999</v>
      </c>
      <c r="AK49" s="33">
        <v>-999</v>
      </c>
      <c r="AL49" s="3"/>
    </row>
    <row r="50" spans="9:38" ht="12.75">
      <c r="I50" s="12">
        <f t="shared" si="3"/>
      </c>
      <c r="J50" s="13">
        <f t="shared" si="7"/>
      </c>
      <c r="K50" s="4">
        <f t="shared" si="8"/>
      </c>
      <c r="L50" s="23">
        <f t="shared" si="9"/>
      </c>
      <c r="M50" s="4"/>
      <c r="N50" s="4">
        <v>1.3</v>
      </c>
      <c r="O50" s="4">
        <v>1.2</v>
      </c>
      <c r="P50" s="4">
        <v>1.2</v>
      </c>
      <c r="Q50" s="33">
        <v>-999</v>
      </c>
      <c r="R50" s="33">
        <v>-999</v>
      </c>
      <c r="S50" s="33">
        <v>-999</v>
      </c>
      <c r="T50" s="33">
        <v>-999</v>
      </c>
      <c r="U50" s="33">
        <v>-999</v>
      </c>
      <c r="V50" s="33">
        <v>-999</v>
      </c>
      <c r="W50" s="33">
        <v>-999</v>
      </c>
      <c r="X50" s="33">
        <v>-999</v>
      </c>
      <c r="Y50" s="33">
        <v>-999</v>
      </c>
      <c r="Z50" s="33">
        <v>-999</v>
      </c>
      <c r="AA50" s="33">
        <v>-999</v>
      </c>
      <c r="AB50" s="33">
        <v>-999</v>
      </c>
      <c r="AC50" s="33">
        <v>-999</v>
      </c>
      <c r="AD50" s="33">
        <v>-999</v>
      </c>
      <c r="AE50" s="33">
        <v>-999</v>
      </c>
      <c r="AF50" s="33">
        <v>-999</v>
      </c>
      <c r="AG50" s="33">
        <v>-999</v>
      </c>
      <c r="AH50" s="33">
        <v>-999</v>
      </c>
      <c r="AI50" s="33">
        <v>-999</v>
      </c>
      <c r="AJ50" s="33">
        <v>-999</v>
      </c>
      <c r="AK50" s="33">
        <v>-999</v>
      </c>
      <c r="AL50" s="3"/>
    </row>
    <row r="51" spans="9:38" ht="12.75">
      <c r="I51" s="12">
        <f t="shared" si="3"/>
      </c>
      <c r="J51" s="13">
        <f t="shared" si="7"/>
      </c>
      <c r="K51" s="4">
        <f t="shared" si="8"/>
      </c>
      <c r="L51" s="23">
        <f t="shared" si="9"/>
      </c>
      <c r="M51" s="4"/>
      <c r="N51" s="4">
        <v>1.35</v>
      </c>
      <c r="O51" s="4">
        <f>(O50+O52)/2</f>
        <v>1.2105000000000001</v>
      </c>
      <c r="P51" s="4">
        <f>(P50+P52)/2</f>
        <v>1.2105000000000001</v>
      </c>
      <c r="Q51" s="33">
        <v>-999</v>
      </c>
      <c r="R51" s="33">
        <v>-999</v>
      </c>
      <c r="S51" s="33">
        <v>-999</v>
      </c>
      <c r="T51" s="33">
        <v>-999</v>
      </c>
      <c r="U51" s="33">
        <v>-999</v>
      </c>
      <c r="V51" s="33">
        <v>-999</v>
      </c>
      <c r="W51" s="33">
        <v>-999</v>
      </c>
      <c r="X51" s="33">
        <v>-999</v>
      </c>
      <c r="Y51" s="33">
        <v>-999</v>
      </c>
      <c r="Z51" s="33">
        <v>-999</v>
      </c>
      <c r="AA51" s="33">
        <v>-999</v>
      </c>
      <c r="AB51" s="33">
        <v>-999</v>
      </c>
      <c r="AC51" s="33">
        <v>-999</v>
      </c>
      <c r="AD51" s="33">
        <v>-999</v>
      </c>
      <c r="AE51" s="33">
        <v>-999</v>
      </c>
      <c r="AF51" s="33">
        <v>-999</v>
      </c>
      <c r="AG51" s="33">
        <v>-999</v>
      </c>
      <c r="AH51" s="33">
        <v>-999</v>
      </c>
      <c r="AI51" s="33">
        <v>-999</v>
      </c>
      <c r="AJ51" s="33">
        <v>-999</v>
      </c>
      <c r="AK51" s="33">
        <v>-999</v>
      </c>
      <c r="AL51" s="3"/>
    </row>
    <row r="52" spans="9:38" ht="12.75">
      <c r="I52" s="12">
        <f t="shared" si="3"/>
      </c>
      <c r="J52" s="13">
        <f t="shared" si="7"/>
      </c>
      <c r="K52" s="4">
        <f t="shared" si="8"/>
      </c>
      <c r="L52" s="23">
        <f t="shared" si="9"/>
      </c>
      <c r="M52" s="4"/>
      <c r="N52" s="4">
        <v>1.4</v>
      </c>
      <c r="O52" s="4">
        <v>1.221</v>
      </c>
      <c r="P52" s="4">
        <v>1.221</v>
      </c>
      <c r="Q52" s="33">
        <v>-999</v>
      </c>
      <c r="R52" s="33">
        <v>-999</v>
      </c>
      <c r="S52" s="33">
        <v>-999</v>
      </c>
      <c r="T52" s="33">
        <v>-999</v>
      </c>
      <c r="U52" s="33">
        <v>-999</v>
      </c>
      <c r="V52" s="33">
        <v>-999</v>
      </c>
      <c r="W52" s="33">
        <v>-999</v>
      </c>
      <c r="X52" s="33">
        <v>-999</v>
      </c>
      <c r="Y52" s="33">
        <v>-999</v>
      </c>
      <c r="Z52" s="33">
        <v>-999</v>
      </c>
      <c r="AA52" s="33">
        <v>-999</v>
      </c>
      <c r="AB52" s="33">
        <v>-999</v>
      </c>
      <c r="AC52" s="33">
        <v>-999</v>
      </c>
      <c r="AD52" s="33">
        <v>-999</v>
      </c>
      <c r="AE52" s="33">
        <v>-999</v>
      </c>
      <c r="AF52" s="33">
        <v>-999</v>
      </c>
      <c r="AG52" s="33">
        <v>-999</v>
      </c>
      <c r="AH52" s="33">
        <v>-999</v>
      </c>
      <c r="AI52" s="33">
        <v>-999</v>
      </c>
      <c r="AJ52" s="33">
        <v>-999</v>
      </c>
      <c r="AK52" s="33">
        <v>-999</v>
      </c>
      <c r="AL52" s="3"/>
    </row>
    <row r="53" spans="9:38" ht="12.75">
      <c r="I53" s="12">
        <f t="shared" si="3"/>
      </c>
      <c r="J53" s="13">
        <f t="shared" si="7"/>
      </c>
      <c r="K53" s="4">
        <f t="shared" si="8"/>
      </c>
      <c r="L53" s="23">
        <f t="shared" si="9"/>
      </c>
      <c r="M53" s="4"/>
      <c r="N53" s="4">
        <v>1.45</v>
      </c>
      <c r="O53" s="4">
        <f>(O52+O54)/2</f>
        <v>1.2305000000000001</v>
      </c>
      <c r="P53" s="4">
        <f>(P52+P54)/2</f>
        <v>1.2305000000000001</v>
      </c>
      <c r="Q53" s="33">
        <v>-999</v>
      </c>
      <c r="R53" s="33">
        <v>-999</v>
      </c>
      <c r="S53" s="33">
        <v>-999</v>
      </c>
      <c r="T53" s="33">
        <v>-999</v>
      </c>
      <c r="U53" s="33">
        <v>-999</v>
      </c>
      <c r="V53" s="33">
        <v>-999</v>
      </c>
      <c r="W53" s="33">
        <v>-999</v>
      </c>
      <c r="X53" s="33">
        <v>-999</v>
      </c>
      <c r="Y53" s="33">
        <v>-999</v>
      </c>
      <c r="Z53" s="33">
        <v>-999</v>
      </c>
      <c r="AA53" s="33">
        <v>-999</v>
      </c>
      <c r="AB53" s="33">
        <v>-999</v>
      </c>
      <c r="AC53" s="33">
        <v>-999</v>
      </c>
      <c r="AD53" s="33">
        <v>-999</v>
      </c>
      <c r="AE53" s="33">
        <v>-999</v>
      </c>
      <c r="AF53" s="33">
        <v>-999</v>
      </c>
      <c r="AG53" s="33">
        <v>-999</v>
      </c>
      <c r="AH53" s="33">
        <v>-999</v>
      </c>
      <c r="AI53" s="33">
        <v>-999</v>
      </c>
      <c r="AJ53" s="33">
        <v>-999</v>
      </c>
      <c r="AK53" s="33">
        <v>-999</v>
      </c>
      <c r="AL53" s="3"/>
    </row>
    <row r="54" spans="9:38" ht="12.75">
      <c r="I54" s="12">
        <f t="shared" si="3"/>
      </c>
      <c r="J54" s="13">
        <f t="shared" si="7"/>
      </c>
      <c r="K54" s="4">
        <f t="shared" si="8"/>
      </c>
      <c r="L54" s="23">
        <f t="shared" si="9"/>
      </c>
      <c r="M54" s="4"/>
      <c r="N54" s="4">
        <v>1.5</v>
      </c>
      <c r="O54" s="4">
        <v>1.24</v>
      </c>
      <c r="P54" s="4">
        <v>1.24</v>
      </c>
      <c r="Q54" s="33">
        <v>-999</v>
      </c>
      <c r="R54" s="33">
        <v>-999</v>
      </c>
      <c r="S54" s="33">
        <v>-999</v>
      </c>
      <c r="T54" s="33">
        <v>-999</v>
      </c>
      <c r="U54" s="33">
        <v>-999</v>
      </c>
      <c r="V54" s="33">
        <v>-999</v>
      </c>
      <c r="W54" s="33">
        <v>-999</v>
      </c>
      <c r="X54" s="33">
        <v>-999</v>
      </c>
      <c r="Y54" s="33">
        <v>-999</v>
      </c>
      <c r="Z54" s="33">
        <v>-999</v>
      </c>
      <c r="AA54" s="33">
        <v>-999</v>
      </c>
      <c r="AB54" s="33">
        <v>-999</v>
      </c>
      <c r="AC54" s="33">
        <v>-999</v>
      </c>
      <c r="AD54" s="33">
        <v>-999</v>
      </c>
      <c r="AE54" s="33">
        <v>-999</v>
      </c>
      <c r="AF54" s="33">
        <v>-999</v>
      </c>
      <c r="AG54" s="33">
        <v>-999</v>
      </c>
      <c r="AH54" s="33">
        <v>-999</v>
      </c>
      <c r="AI54" s="33">
        <v>-999</v>
      </c>
      <c r="AJ54" s="33">
        <v>-999</v>
      </c>
      <c r="AK54" s="33">
        <v>-999</v>
      </c>
      <c r="AL54" s="3"/>
    </row>
    <row r="55" spans="9:38" ht="12.75">
      <c r="I55" s="12">
        <f t="shared" si="3"/>
      </c>
      <c r="J55" s="13">
        <f t="shared" si="7"/>
      </c>
      <c r="K55" s="4">
        <f t="shared" si="8"/>
      </c>
      <c r="L55" s="23">
        <f t="shared" si="9"/>
      </c>
      <c r="M55" s="4"/>
      <c r="N55" s="4">
        <v>5</v>
      </c>
      <c r="O55" s="4">
        <v>-999</v>
      </c>
      <c r="P55" s="4">
        <v>-999</v>
      </c>
      <c r="Q55" s="4">
        <v>-999</v>
      </c>
      <c r="R55" s="4">
        <v>-999</v>
      </c>
      <c r="S55" s="4">
        <v>-999</v>
      </c>
      <c r="T55" s="4">
        <v>-999</v>
      </c>
      <c r="U55" s="4">
        <v>-999</v>
      </c>
      <c r="V55" s="4">
        <v>-999</v>
      </c>
      <c r="W55" s="4">
        <v>-999</v>
      </c>
      <c r="X55" s="4">
        <v>-999</v>
      </c>
      <c r="Y55" s="4">
        <v>-999</v>
      </c>
      <c r="Z55" s="4">
        <v>-999</v>
      </c>
      <c r="AA55" s="4">
        <v>-999</v>
      </c>
      <c r="AB55" s="4">
        <v>-999</v>
      </c>
      <c r="AC55" s="4">
        <v>-999</v>
      </c>
      <c r="AD55" s="4">
        <v>-999</v>
      </c>
      <c r="AE55" s="4">
        <v>-999</v>
      </c>
      <c r="AF55" s="4">
        <v>-999</v>
      </c>
      <c r="AG55" s="4">
        <v>-999</v>
      </c>
      <c r="AH55" s="4">
        <v>-999</v>
      </c>
      <c r="AI55" s="4">
        <v>-999</v>
      </c>
      <c r="AJ55" s="4">
        <v>-999</v>
      </c>
      <c r="AK55" s="4">
        <v>-999</v>
      </c>
      <c r="AL55" s="3"/>
    </row>
    <row r="56" spans="9:38" ht="12.75">
      <c r="I56" s="12">
        <f t="shared" si="3"/>
      </c>
      <c r="J56" s="13">
        <f t="shared" si="7"/>
      </c>
      <c r="K56" s="4">
        <f t="shared" si="8"/>
      </c>
      <c r="L56" s="23">
        <f t="shared" si="9"/>
      </c>
      <c r="M56" s="4"/>
      <c r="N56" s="4">
        <v>10</v>
      </c>
      <c r="O56" s="4">
        <v>-999</v>
      </c>
      <c r="P56" s="4">
        <v>-999</v>
      </c>
      <c r="Q56" s="4">
        <v>-999</v>
      </c>
      <c r="R56" s="4">
        <v>-999</v>
      </c>
      <c r="S56" s="4">
        <v>-999</v>
      </c>
      <c r="T56" s="4">
        <v>-999</v>
      </c>
      <c r="U56" s="4">
        <v>-999</v>
      </c>
      <c r="V56" s="4">
        <v>-999</v>
      </c>
      <c r="W56" s="4">
        <v>-999</v>
      </c>
      <c r="X56" s="4">
        <v>-999</v>
      </c>
      <c r="Y56" s="4">
        <v>-999</v>
      </c>
      <c r="Z56" s="4">
        <v>-999</v>
      </c>
      <c r="AA56" s="4">
        <v>-999</v>
      </c>
      <c r="AB56" s="4">
        <v>-999</v>
      </c>
      <c r="AC56" s="4">
        <v>-999</v>
      </c>
      <c r="AD56" s="4">
        <v>-999</v>
      </c>
      <c r="AE56" s="4">
        <v>-999</v>
      </c>
      <c r="AF56" s="4">
        <v>-999</v>
      </c>
      <c r="AG56" s="4">
        <v>-999</v>
      </c>
      <c r="AH56" s="4">
        <v>-999</v>
      </c>
      <c r="AI56" s="4">
        <v>-999</v>
      </c>
      <c r="AJ56" s="4">
        <v>-999</v>
      </c>
      <c r="AK56" s="4">
        <v>-999</v>
      </c>
      <c r="AL56" s="3"/>
    </row>
    <row r="57" spans="9:38" ht="12.75">
      <c r="I57" s="12">
        <f t="shared" si="3"/>
      </c>
      <c r="J57" s="13">
        <f t="shared" si="7"/>
      </c>
      <c r="K57" s="4">
        <f t="shared" si="8"/>
      </c>
      <c r="L57" s="23">
        <f t="shared" si="9"/>
      </c>
      <c r="M57" s="4"/>
      <c r="N57" s="4">
        <v>20</v>
      </c>
      <c r="O57" s="4">
        <v>-999</v>
      </c>
      <c r="P57" s="4">
        <v>-999</v>
      </c>
      <c r="Q57" s="4">
        <v>-999</v>
      </c>
      <c r="R57" s="4">
        <v>-999</v>
      </c>
      <c r="S57" s="4">
        <v>-999</v>
      </c>
      <c r="T57" s="4">
        <v>-999</v>
      </c>
      <c r="U57" s="4">
        <v>-999</v>
      </c>
      <c r="V57" s="4">
        <v>-999</v>
      </c>
      <c r="W57" s="4">
        <v>-999</v>
      </c>
      <c r="X57" s="4">
        <v>-999</v>
      </c>
      <c r="Y57" s="4">
        <v>-999</v>
      </c>
      <c r="Z57" s="4">
        <v>-999</v>
      </c>
      <c r="AA57" s="4">
        <v>-999</v>
      </c>
      <c r="AB57" s="4">
        <v>-999</v>
      </c>
      <c r="AC57" s="4">
        <v>-999</v>
      </c>
      <c r="AD57" s="4">
        <v>-999</v>
      </c>
      <c r="AE57" s="4">
        <v>-999</v>
      </c>
      <c r="AF57" s="4">
        <v>-999</v>
      </c>
      <c r="AG57" s="4">
        <v>-999</v>
      </c>
      <c r="AH57" s="4">
        <v>-999</v>
      </c>
      <c r="AI57" s="4">
        <v>-999</v>
      </c>
      <c r="AJ57" s="4">
        <v>-999</v>
      </c>
      <c r="AK57" s="4">
        <v>-999</v>
      </c>
      <c r="AL57" s="3"/>
    </row>
    <row r="58" spans="9:38" ht="12.75">
      <c r="I58" s="12">
        <f t="shared" si="3"/>
      </c>
      <c r="J58" s="13">
        <f t="shared" si="7"/>
      </c>
      <c r="K58" s="4">
        <f t="shared" si="8"/>
      </c>
      <c r="L58" s="23">
        <f t="shared" si="9"/>
      </c>
      <c r="M58" s="4"/>
      <c r="N58" s="4"/>
      <c r="O58" s="4"/>
      <c r="P58" s="4"/>
      <c r="Q58" s="4"/>
      <c r="R58" s="4"/>
      <c r="S58" s="4"/>
      <c r="T58" s="4"/>
      <c r="U58" s="4"/>
      <c r="V58" s="4"/>
      <c r="W58" s="4"/>
      <c r="X58" s="4"/>
      <c r="Y58" s="4"/>
      <c r="Z58" s="4"/>
      <c r="AA58" s="4"/>
      <c r="AB58" s="4"/>
      <c r="AC58" s="4"/>
      <c r="AD58" s="4"/>
      <c r="AE58" s="4"/>
      <c r="AF58" s="4"/>
      <c r="AG58" s="4"/>
      <c r="AH58" s="4"/>
      <c r="AI58" s="4"/>
      <c r="AJ58" s="4"/>
      <c r="AK58" s="4"/>
      <c r="AL58" s="3"/>
    </row>
    <row r="59" spans="9:38" ht="12.75">
      <c r="I59" s="12">
        <f t="shared" si="3"/>
      </c>
      <c r="J59" s="13">
        <f t="shared" si="7"/>
      </c>
      <c r="K59" s="4">
        <f t="shared" si="8"/>
      </c>
      <c r="L59" s="23">
        <f t="shared" si="9"/>
      </c>
      <c r="M59" s="4"/>
      <c r="N59" s="4"/>
      <c r="O59" s="4"/>
      <c r="P59" s="4"/>
      <c r="Q59" s="4"/>
      <c r="R59" s="4"/>
      <c r="S59" s="4"/>
      <c r="T59" s="4"/>
      <c r="U59" s="4"/>
      <c r="V59" s="4"/>
      <c r="W59" s="4"/>
      <c r="X59" s="4"/>
      <c r="Y59" s="4"/>
      <c r="Z59" s="4"/>
      <c r="AA59" s="4"/>
      <c r="AB59" s="4"/>
      <c r="AC59" s="4"/>
      <c r="AD59" s="4"/>
      <c r="AE59" s="4"/>
      <c r="AF59" s="4"/>
      <c r="AG59" s="4"/>
      <c r="AH59" s="4"/>
      <c r="AI59" s="4"/>
      <c r="AJ59" s="4"/>
      <c r="AK59" s="4"/>
      <c r="AL59" s="3"/>
    </row>
    <row r="60" spans="9:38" ht="12.75">
      <c r="I60" s="12">
        <f t="shared" si="3"/>
      </c>
      <c r="J60" s="13">
        <f t="shared" si="7"/>
      </c>
      <c r="K60" s="4">
        <f t="shared" si="8"/>
      </c>
      <c r="L60" s="23">
        <f t="shared" si="9"/>
      </c>
      <c r="M60" s="4"/>
      <c r="N60" s="4"/>
      <c r="O60" s="4"/>
      <c r="P60" s="4"/>
      <c r="Q60" s="4"/>
      <c r="R60" s="4"/>
      <c r="S60" s="4"/>
      <c r="T60" s="4"/>
      <c r="U60" s="4"/>
      <c r="V60" s="4"/>
      <c r="W60" s="4"/>
      <c r="X60" s="4"/>
      <c r="Y60" s="4"/>
      <c r="Z60" s="4"/>
      <c r="AA60" s="4"/>
      <c r="AB60" s="4"/>
      <c r="AC60" s="4"/>
      <c r="AD60" s="4"/>
      <c r="AE60" s="4"/>
      <c r="AF60" s="4"/>
      <c r="AG60" s="4"/>
      <c r="AH60" s="4"/>
      <c r="AI60" s="4"/>
      <c r="AJ60" s="4"/>
      <c r="AK60" s="4"/>
      <c r="AL60" s="3"/>
    </row>
    <row r="61" spans="9:38" ht="12.75">
      <c r="I61" s="12">
        <f t="shared" si="3"/>
      </c>
      <c r="J61" s="13">
        <f t="shared" si="7"/>
      </c>
      <c r="K61" s="4">
        <f t="shared" si="8"/>
      </c>
      <c r="L61" s="23">
        <f t="shared" si="9"/>
      </c>
      <c r="M61" s="4"/>
      <c r="N61" s="4"/>
      <c r="O61" s="4"/>
      <c r="P61" s="4"/>
      <c r="Q61" s="4"/>
      <c r="R61" s="4"/>
      <c r="S61" s="4"/>
      <c r="T61" s="4"/>
      <c r="U61" s="4"/>
      <c r="V61" s="4"/>
      <c r="W61" s="4"/>
      <c r="X61" s="4"/>
      <c r="Y61" s="4"/>
      <c r="Z61" s="4"/>
      <c r="AA61" s="4"/>
      <c r="AB61" s="4"/>
      <c r="AC61" s="4"/>
      <c r="AD61" s="4"/>
      <c r="AE61" s="4"/>
      <c r="AF61" s="4"/>
      <c r="AG61" s="4"/>
      <c r="AH61" s="4"/>
      <c r="AI61" s="4"/>
      <c r="AJ61" s="4"/>
      <c r="AK61" s="4"/>
      <c r="AL61" s="3"/>
    </row>
    <row r="62" spans="9:38" ht="12.75">
      <c r="I62" s="12">
        <f t="shared" si="3"/>
      </c>
      <c r="J62" s="13">
        <f t="shared" si="7"/>
      </c>
      <c r="K62" s="4">
        <f t="shared" si="8"/>
      </c>
      <c r="L62" s="23">
        <f t="shared" si="9"/>
      </c>
      <c r="M62" s="4"/>
      <c r="N62" s="4"/>
      <c r="O62" s="4"/>
      <c r="P62" s="4"/>
      <c r="Q62" s="4"/>
      <c r="R62" s="4"/>
      <c r="S62" s="4"/>
      <c r="T62" s="4"/>
      <c r="U62" s="4"/>
      <c r="V62" s="4"/>
      <c r="W62" s="4"/>
      <c r="X62" s="4"/>
      <c r="Y62" s="4"/>
      <c r="Z62" s="4"/>
      <c r="AA62" s="4"/>
      <c r="AB62" s="4"/>
      <c r="AC62" s="4"/>
      <c r="AD62" s="4"/>
      <c r="AE62" s="4"/>
      <c r="AF62" s="4"/>
      <c r="AG62" s="4"/>
      <c r="AH62" s="4"/>
      <c r="AI62" s="4"/>
      <c r="AJ62" s="4"/>
      <c r="AK62" s="4"/>
      <c r="AL62" s="3"/>
    </row>
    <row r="63" spans="9:38" ht="12.75">
      <c r="I63" s="12">
        <f t="shared" si="3"/>
      </c>
      <c r="J63" s="13">
        <f t="shared" si="7"/>
      </c>
      <c r="K63" s="4">
        <f t="shared" si="8"/>
      </c>
      <c r="L63" s="23">
        <f t="shared" si="9"/>
      </c>
      <c r="M63" s="4"/>
      <c r="N63" s="4"/>
      <c r="O63" s="4"/>
      <c r="P63" s="4"/>
      <c r="Q63" s="4"/>
      <c r="R63" s="4"/>
      <c r="S63" s="4"/>
      <c r="T63" s="4"/>
      <c r="U63" s="4"/>
      <c r="V63" s="4"/>
      <c r="W63" s="4"/>
      <c r="X63" s="4"/>
      <c r="Y63" s="4"/>
      <c r="Z63" s="4"/>
      <c r="AA63" s="4"/>
      <c r="AB63" s="4"/>
      <c r="AC63" s="4"/>
      <c r="AD63" s="4"/>
      <c r="AE63" s="4"/>
      <c r="AF63" s="4"/>
      <c r="AG63" s="4"/>
      <c r="AH63" s="4"/>
      <c r="AI63" s="4"/>
      <c r="AJ63" s="4"/>
      <c r="AK63" s="4"/>
      <c r="AL63" s="3"/>
    </row>
    <row r="64" spans="9:38" ht="12.75">
      <c r="I64" s="12">
        <f t="shared" si="3"/>
      </c>
      <c r="J64" s="13">
        <f t="shared" si="7"/>
      </c>
      <c r="K64" s="4">
        <f t="shared" si="8"/>
      </c>
      <c r="L64" s="23">
        <f t="shared" si="9"/>
      </c>
      <c r="M64" s="4"/>
      <c r="N64" s="4"/>
      <c r="O64" s="4"/>
      <c r="P64" s="4"/>
      <c r="Q64" s="4"/>
      <c r="R64" s="4"/>
      <c r="S64" s="4"/>
      <c r="T64" s="4"/>
      <c r="U64" s="4"/>
      <c r="V64" s="4"/>
      <c r="W64" s="4"/>
      <c r="X64" s="4"/>
      <c r="Y64" s="4"/>
      <c r="Z64" s="4"/>
      <c r="AA64" s="4"/>
      <c r="AB64" s="4"/>
      <c r="AC64" s="4"/>
      <c r="AD64" s="4"/>
      <c r="AE64" s="4"/>
      <c r="AF64" s="4"/>
      <c r="AG64" s="4"/>
      <c r="AH64" s="4"/>
      <c r="AI64" s="4"/>
      <c r="AJ64" s="4"/>
      <c r="AK64" s="4"/>
      <c r="AL64" s="3"/>
    </row>
    <row r="65" spans="9:38" ht="12.75">
      <c r="I65" s="12">
        <f t="shared" si="3"/>
      </c>
      <c r="J65" s="13">
        <f t="shared" si="7"/>
      </c>
      <c r="K65" s="4">
        <f t="shared" si="8"/>
      </c>
      <c r="L65" s="23">
        <f t="shared" si="9"/>
      </c>
      <c r="M65" s="4"/>
      <c r="N65" s="4"/>
      <c r="O65" s="4"/>
      <c r="P65" s="4"/>
      <c r="Q65" s="4"/>
      <c r="R65" s="4"/>
      <c r="S65" s="4"/>
      <c r="T65" s="4"/>
      <c r="U65" s="4"/>
      <c r="V65" s="4"/>
      <c r="W65" s="4"/>
      <c r="X65" s="4"/>
      <c r="Y65" s="4"/>
      <c r="Z65" s="4"/>
      <c r="AA65" s="4"/>
      <c r="AB65" s="4"/>
      <c r="AC65" s="4"/>
      <c r="AD65" s="4"/>
      <c r="AE65" s="4"/>
      <c r="AF65" s="4"/>
      <c r="AG65" s="4"/>
      <c r="AH65" s="4"/>
      <c r="AI65" s="4"/>
      <c r="AJ65" s="4"/>
      <c r="AK65" s="4"/>
      <c r="AL65" s="3"/>
    </row>
    <row r="66" spans="9:38" ht="12.75">
      <c r="I66" s="12">
        <f t="shared" si="3"/>
      </c>
      <c r="J66" s="13">
        <f t="shared" si="7"/>
      </c>
      <c r="K66" s="4">
        <f t="shared" si="8"/>
      </c>
      <c r="L66" s="23">
        <f t="shared" si="9"/>
      </c>
      <c r="M66" s="4"/>
      <c r="N66" s="4"/>
      <c r="O66" s="4"/>
      <c r="P66" s="4"/>
      <c r="Q66" s="4"/>
      <c r="R66" s="4"/>
      <c r="S66" s="4"/>
      <c r="T66" s="4"/>
      <c r="U66" s="4"/>
      <c r="V66" s="4"/>
      <c r="W66" s="4"/>
      <c r="X66" s="4"/>
      <c r="Y66" s="4"/>
      <c r="Z66" s="4"/>
      <c r="AA66" s="4"/>
      <c r="AB66" s="4"/>
      <c r="AC66" s="4"/>
      <c r="AD66" s="4"/>
      <c r="AE66" s="4"/>
      <c r="AF66" s="4"/>
      <c r="AG66" s="4"/>
      <c r="AH66" s="4"/>
      <c r="AI66" s="4"/>
      <c r="AJ66" s="4"/>
      <c r="AK66" s="4"/>
      <c r="AL66" s="3"/>
    </row>
    <row r="67" spans="9:38" ht="12.75">
      <c r="I67" s="12">
        <f t="shared" si="3"/>
      </c>
      <c r="J67" s="13">
        <f t="shared" si="7"/>
      </c>
      <c r="K67" s="4">
        <f t="shared" si="8"/>
      </c>
      <c r="L67" s="23">
        <f t="shared" si="9"/>
      </c>
      <c r="M67" s="4"/>
      <c r="N67" s="4"/>
      <c r="O67" s="4"/>
      <c r="P67" s="4"/>
      <c r="Q67" s="4"/>
      <c r="R67" s="4"/>
      <c r="S67" s="4"/>
      <c r="T67" s="4"/>
      <c r="U67" s="4"/>
      <c r="V67" s="4"/>
      <c r="W67" s="4"/>
      <c r="X67" s="4"/>
      <c r="Y67" s="4"/>
      <c r="Z67" s="4"/>
      <c r="AA67" s="4"/>
      <c r="AB67" s="4"/>
      <c r="AC67" s="4"/>
      <c r="AD67" s="4"/>
      <c r="AE67" s="4"/>
      <c r="AF67" s="4"/>
      <c r="AG67" s="4"/>
      <c r="AH67" s="4"/>
      <c r="AI67" s="4"/>
      <c r="AJ67" s="4"/>
      <c r="AK67" s="4"/>
      <c r="AL67" s="3"/>
    </row>
    <row r="68" spans="9:38" ht="12.75">
      <c r="I68" s="12">
        <f t="shared" si="3"/>
      </c>
      <c r="J68" s="13">
        <f aca="true" t="shared" si="10" ref="J68:J99">IF(H68="","",IF(AND(A$23="",A$24=""),IF(H68&gt;$B$10,"Ekki er hægt að reikna rennsli fyrir svo háa vatnshæð",IF(H68&lt;$B$9,"Ekki er hægt að reikna rennsli fyrir svo lága vatnshæð",IF(AND(H68&gt;0,OR(K68=0,L68=0)),"Ekki er hægt að reikna rennsli fyrir þessa vatnshæð",""))),"Ekki er hægt að reikna rennsli fyrir þetta yfirfall"))</f>
      </c>
      <c r="K68" s="4">
        <f aca="true" t="shared" si="11" ref="K68:K99">IF(H68&gt;0,IF((VLOOKUP(0.01*H68/$B$6,$N$24:$AK$57,MAX(2,INT((H68/(H68+$B$7))/0.025)-11),TRUE)+(VLOOKUP(0.01*H68/$B$6,$N$24:$AK$57,MAX(2,INT((H68/(H68+$B$7))/0.025)-10),TRUE)-VLOOKUP(0.01*H68/$B$6,$N$24:$AK$57,MAX(2,INT((H68/(H68+$B$7))/0.025)-11),TRUE))*(H68/(H68+$B$7)-INT((H68/(H68+$B$7))/0.025)*0.025)/0.025+(VLOOKUP(0.01*H68/$B$6+0.05,$N$24:$AK$57,MAX(2,INT((H68/(H68+$B$7))/0.025)-11),TRUE)-VLOOKUP(0.01*H68/$B$6,$N$24:$AK$57,MAX(2,INT((H68/(H68+$B$7))/0.025)-11),TRUE))*(0.01*H68/$B$6-INT((0.01*H68/$B$6)/0.05)*0.05)/0.05)&gt;0,0.848*(VLOOKUP(0.01*H68/$B$6,$N$24:$AK$57,MAX(2,INT((H68/(H68+$B$7))/0.025)-11),TRUE)+(VLOOKUP(0.01*H68/$B$6,$N$24:$AK$57,MAX(2,INT((H68/(H68+$B$7))/0.025)-10),TRUE)-VLOOKUP(0.01*H68/$B$6,$N$24:$AK$57,MAX(2,INT((H68/(H68+$B$7))/0.025)-11),TRUE))*(H68/(H68+$B$7)-INT((H68/(H68+$B$7))/0.025)*0.025)/0.025+(VLOOKUP(0.01*H68/$B$6+0.05,$N$24:$AK$57,MAX(2,INT((H68/(H68+$B$7))/0.025)-11),TRUE)-VLOOKUP(0.01*H68/$B$6,$N$24:$AK$57,MAX(2,INT((H68/(H68+$B$7))/0.025)-11),TRUE))*(0.01*H68/$B$6-INT((0.01*H68/$B$6)/0.05)*0.05)/0.05),0),"")</f>
      </c>
      <c r="L68" s="23">
        <f aca="true" t="shared" si="12" ref="L68:L99">IF(H68&gt;0,IF(K68&gt;0,LOOKUP(K68*H68*$B$5/((H68+$B$7)*$B$4),$N$4:$N$19,$O$4:$O$19)+(LOOKUP(K68*H68*$B$5/((H68+$B$7)*$B$4)+0.05,$N$4:$N$19,$O$4:$O$19)-LOOKUP(K68*H68*$B$5/((H68+$B$7)*$B$4),$N$4:$N$19,$O$4:$O$19))*(K68*H68*$B$5/((H68+$B$7)*$B$4)-INT(K68*H68*$B$5/((H68+$B$7)*$B$4)/0.05)*0.05)/0.05,0),"")</f>
      </c>
      <c r="M68" s="4"/>
      <c r="N68" s="4"/>
      <c r="O68" s="4"/>
      <c r="P68" s="4"/>
      <c r="Q68" s="4"/>
      <c r="R68" s="4"/>
      <c r="S68" s="4"/>
      <c r="T68" s="4"/>
      <c r="U68" s="4"/>
      <c r="V68" s="4"/>
      <c r="W68" s="4"/>
      <c r="X68" s="4"/>
      <c r="Y68" s="4"/>
      <c r="Z68" s="4"/>
      <c r="AA68" s="4"/>
      <c r="AB68" s="4"/>
      <c r="AC68" s="4"/>
      <c r="AD68" s="4"/>
      <c r="AE68" s="4"/>
      <c r="AF68" s="4"/>
      <c r="AG68" s="4"/>
      <c r="AH68" s="4"/>
      <c r="AI68" s="4"/>
      <c r="AJ68" s="4"/>
      <c r="AK68" s="4"/>
      <c r="AL68" s="3"/>
    </row>
    <row r="69" spans="9:38" ht="12.75">
      <c r="I69" s="12">
        <f aca="true" t="shared" si="13" ref="I69:I99">IF(AND(H69&gt;0,K69&gt;0,L69&gt;0,J69=""),(K69*L69*2/3*(2/3*9.81)^0.5*$B$5*(H69/100)^1.5)*1000,"")</f>
      </c>
      <c r="J69" s="13">
        <f t="shared" si="10"/>
      </c>
      <c r="K69" s="4">
        <f t="shared" si="11"/>
      </c>
      <c r="L69" s="23">
        <f t="shared" si="12"/>
      </c>
      <c r="M69" s="4"/>
      <c r="N69" s="4"/>
      <c r="O69" s="4"/>
      <c r="P69" s="4"/>
      <c r="Q69" s="4"/>
      <c r="R69" s="4"/>
      <c r="S69" s="4"/>
      <c r="T69" s="4"/>
      <c r="U69" s="4"/>
      <c r="V69" s="4"/>
      <c r="W69" s="4"/>
      <c r="X69" s="4"/>
      <c r="Y69" s="4"/>
      <c r="Z69" s="4"/>
      <c r="AA69" s="4"/>
      <c r="AB69" s="4"/>
      <c r="AC69" s="4"/>
      <c r="AD69" s="4"/>
      <c r="AE69" s="4"/>
      <c r="AF69" s="4"/>
      <c r="AG69" s="4"/>
      <c r="AH69" s="4"/>
      <c r="AI69" s="4"/>
      <c r="AJ69" s="4"/>
      <c r="AK69" s="4"/>
      <c r="AL69" s="3"/>
    </row>
    <row r="70" spans="9:38" ht="12.75">
      <c r="I70" s="12">
        <f t="shared" si="13"/>
      </c>
      <c r="J70" s="13">
        <f t="shared" si="10"/>
      </c>
      <c r="K70" s="4">
        <f t="shared" si="11"/>
      </c>
      <c r="L70" s="23">
        <f t="shared" si="12"/>
      </c>
      <c r="M70" s="4"/>
      <c r="N70" s="4"/>
      <c r="O70" s="4"/>
      <c r="P70" s="4"/>
      <c r="Q70" s="4"/>
      <c r="R70" s="4"/>
      <c r="S70" s="4"/>
      <c r="T70" s="4"/>
      <c r="U70" s="4"/>
      <c r="V70" s="4"/>
      <c r="W70" s="4"/>
      <c r="X70" s="4"/>
      <c r="Y70" s="4"/>
      <c r="Z70" s="4"/>
      <c r="AA70" s="4"/>
      <c r="AB70" s="4"/>
      <c r="AC70" s="4"/>
      <c r="AD70" s="4"/>
      <c r="AE70" s="4"/>
      <c r="AF70" s="4"/>
      <c r="AG70" s="4"/>
      <c r="AH70" s="4"/>
      <c r="AI70" s="4"/>
      <c r="AJ70" s="4"/>
      <c r="AK70" s="4"/>
      <c r="AL70" s="3"/>
    </row>
    <row r="71" spans="9:38" ht="12.75">
      <c r="I71" s="12">
        <f t="shared" si="13"/>
      </c>
      <c r="J71" s="13">
        <f t="shared" si="10"/>
      </c>
      <c r="K71" s="4">
        <f t="shared" si="11"/>
      </c>
      <c r="L71" s="23">
        <f t="shared" si="12"/>
      </c>
      <c r="M71" s="4"/>
      <c r="N71" s="4"/>
      <c r="O71" s="4"/>
      <c r="P71" s="4"/>
      <c r="Q71" s="4"/>
      <c r="R71" s="4"/>
      <c r="S71" s="4"/>
      <c r="T71" s="4"/>
      <c r="U71" s="4"/>
      <c r="V71" s="4"/>
      <c r="W71" s="4"/>
      <c r="X71" s="4"/>
      <c r="Y71" s="4"/>
      <c r="Z71" s="4"/>
      <c r="AA71" s="4"/>
      <c r="AB71" s="4"/>
      <c r="AC71" s="4"/>
      <c r="AD71" s="4"/>
      <c r="AE71" s="4"/>
      <c r="AF71" s="4"/>
      <c r="AG71" s="4"/>
      <c r="AH71" s="4"/>
      <c r="AI71" s="4"/>
      <c r="AJ71" s="4"/>
      <c r="AK71" s="4"/>
      <c r="AL71" s="3"/>
    </row>
    <row r="72" spans="9:38" ht="12.75">
      <c r="I72" s="12">
        <f t="shared" si="13"/>
      </c>
      <c r="J72" s="13">
        <f t="shared" si="10"/>
      </c>
      <c r="K72" s="4">
        <f t="shared" si="11"/>
      </c>
      <c r="L72" s="23">
        <f t="shared" si="12"/>
      </c>
      <c r="M72" s="4"/>
      <c r="N72" s="4"/>
      <c r="O72" s="4"/>
      <c r="P72" s="4"/>
      <c r="Q72" s="4"/>
      <c r="R72" s="4"/>
      <c r="S72" s="4"/>
      <c r="T72" s="4"/>
      <c r="U72" s="4"/>
      <c r="V72" s="4"/>
      <c r="W72" s="4"/>
      <c r="X72" s="4"/>
      <c r="Y72" s="4"/>
      <c r="Z72" s="4"/>
      <c r="AA72" s="4"/>
      <c r="AB72" s="4"/>
      <c r="AC72" s="4"/>
      <c r="AD72" s="4"/>
      <c r="AE72" s="4"/>
      <c r="AF72" s="4"/>
      <c r="AG72" s="4"/>
      <c r="AH72" s="4"/>
      <c r="AI72" s="4"/>
      <c r="AJ72" s="4"/>
      <c r="AK72" s="4"/>
      <c r="AL72" s="3"/>
    </row>
    <row r="73" spans="9:38" ht="12.75">
      <c r="I73" s="12">
        <f t="shared" si="13"/>
      </c>
      <c r="J73" s="13">
        <f t="shared" si="10"/>
      </c>
      <c r="K73" s="4">
        <f t="shared" si="11"/>
      </c>
      <c r="L73" s="23">
        <f t="shared" si="12"/>
      </c>
      <c r="M73" s="4"/>
      <c r="N73" s="4"/>
      <c r="O73" s="4"/>
      <c r="P73" s="4"/>
      <c r="Q73" s="4"/>
      <c r="R73" s="4"/>
      <c r="S73" s="4"/>
      <c r="T73" s="4"/>
      <c r="U73" s="4"/>
      <c r="V73" s="4"/>
      <c r="W73" s="4"/>
      <c r="X73" s="4"/>
      <c r="Y73" s="4"/>
      <c r="Z73" s="4"/>
      <c r="AA73" s="4"/>
      <c r="AB73" s="4"/>
      <c r="AC73" s="4"/>
      <c r="AD73" s="4"/>
      <c r="AE73" s="4"/>
      <c r="AF73" s="4"/>
      <c r="AG73" s="4"/>
      <c r="AH73" s="4"/>
      <c r="AI73" s="4"/>
      <c r="AJ73" s="4"/>
      <c r="AK73" s="4"/>
      <c r="AL73" s="3"/>
    </row>
    <row r="74" spans="9:38" ht="12.75">
      <c r="I74" s="12">
        <f t="shared" si="13"/>
      </c>
      <c r="J74" s="13">
        <f t="shared" si="10"/>
      </c>
      <c r="K74" s="4">
        <f t="shared" si="11"/>
      </c>
      <c r="L74" s="23">
        <f t="shared" si="12"/>
      </c>
      <c r="M74" s="4"/>
      <c r="N74" s="4"/>
      <c r="O74" s="4"/>
      <c r="P74" s="4"/>
      <c r="Q74" s="4"/>
      <c r="R74" s="4"/>
      <c r="S74" s="4"/>
      <c r="T74" s="4"/>
      <c r="U74" s="4"/>
      <c r="V74" s="4"/>
      <c r="W74" s="4"/>
      <c r="X74" s="4"/>
      <c r="Y74" s="4"/>
      <c r="Z74" s="4"/>
      <c r="AA74" s="4"/>
      <c r="AB74" s="4"/>
      <c r="AC74" s="4"/>
      <c r="AD74" s="4"/>
      <c r="AE74" s="4"/>
      <c r="AF74" s="4"/>
      <c r="AG74" s="4"/>
      <c r="AH74" s="4"/>
      <c r="AI74" s="4"/>
      <c r="AJ74" s="4"/>
      <c r="AK74" s="4"/>
      <c r="AL74" s="3"/>
    </row>
    <row r="75" spans="9:38" ht="12.75">
      <c r="I75" s="12">
        <f t="shared" si="13"/>
      </c>
      <c r="J75" s="13">
        <f t="shared" si="10"/>
      </c>
      <c r="K75" s="4">
        <f t="shared" si="11"/>
      </c>
      <c r="L75" s="23">
        <f t="shared" si="12"/>
      </c>
      <c r="M75" s="4"/>
      <c r="N75" s="4"/>
      <c r="O75" s="4"/>
      <c r="P75" s="4"/>
      <c r="Q75" s="4"/>
      <c r="R75" s="4"/>
      <c r="S75" s="4"/>
      <c r="T75" s="4"/>
      <c r="U75" s="4"/>
      <c r="V75" s="4"/>
      <c r="W75" s="4"/>
      <c r="X75" s="4"/>
      <c r="Y75" s="4"/>
      <c r="Z75" s="4"/>
      <c r="AA75" s="4"/>
      <c r="AB75" s="4"/>
      <c r="AC75" s="4"/>
      <c r="AD75" s="4"/>
      <c r="AE75" s="4"/>
      <c r="AF75" s="4"/>
      <c r="AG75" s="4"/>
      <c r="AH75" s="4"/>
      <c r="AI75" s="4"/>
      <c r="AJ75" s="4"/>
      <c r="AK75" s="4"/>
      <c r="AL75" s="3"/>
    </row>
    <row r="76" spans="9:38" ht="12.75">
      <c r="I76" s="12">
        <f t="shared" si="13"/>
      </c>
      <c r="J76" s="13">
        <f t="shared" si="10"/>
      </c>
      <c r="K76" s="4">
        <f t="shared" si="11"/>
      </c>
      <c r="L76" s="23">
        <f t="shared" si="12"/>
      </c>
      <c r="M76" s="4"/>
      <c r="N76" s="4"/>
      <c r="O76" s="4"/>
      <c r="P76" s="4"/>
      <c r="Q76" s="4"/>
      <c r="R76" s="4"/>
      <c r="S76" s="4"/>
      <c r="T76" s="4"/>
      <c r="U76" s="4"/>
      <c r="V76" s="4"/>
      <c r="W76" s="4"/>
      <c r="X76" s="4"/>
      <c r="Y76" s="4"/>
      <c r="Z76" s="4"/>
      <c r="AA76" s="4"/>
      <c r="AB76" s="4"/>
      <c r="AC76" s="4"/>
      <c r="AD76" s="4"/>
      <c r="AE76" s="4"/>
      <c r="AF76" s="4"/>
      <c r="AG76" s="4"/>
      <c r="AH76" s="4"/>
      <c r="AI76" s="4"/>
      <c r="AJ76" s="4"/>
      <c r="AK76" s="4"/>
      <c r="AL76" s="3"/>
    </row>
    <row r="77" spans="9:38" ht="12.75">
      <c r="I77" s="12">
        <f t="shared" si="13"/>
      </c>
      <c r="J77" s="13">
        <f t="shared" si="10"/>
      </c>
      <c r="K77" s="4">
        <f t="shared" si="11"/>
      </c>
      <c r="L77" s="23">
        <f t="shared" si="12"/>
      </c>
      <c r="M77" s="4"/>
      <c r="N77" s="4"/>
      <c r="O77" s="4"/>
      <c r="P77" s="4"/>
      <c r="Q77" s="4"/>
      <c r="R77" s="4"/>
      <c r="S77" s="4"/>
      <c r="T77" s="4"/>
      <c r="U77" s="4"/>
      <c r="V77" s="4"/>
      <c r="W77" s="4"/>
      <c r="X77" s="4"/>
      <c r="Y77" s="4"/>
      <c r="Z77" s="4"/>
      <c r="AA77" s="4"/>
      <c r="AB77" s="4"/>
      <c r="AC77" s="4"/>
      <c r="AD77" s="4"/>
      <c r="AE77" s="4"/>
      <c r="AF77" s="4"/>
      <c r="AG77" s="4"/>
      <c r="AH77" s="4"/>
      <c r="AI77" s="4"/>
      <c r="AJ77" s="4"/>
      <c r="AK77" s="4"/>
      <c r="AL77" s="3"/>
    </row>
    <row r="78" spans="9:38" ht="12.75">
      <c r="I78" s="12">
        <f t="shared" si="13"/>
      </c>
      <c r="J78" s="13">
        <f t="shared" si="10"/>
      </c>
      <c r="K78" s="4">
        <f t="shared" si="11"/>
      </c>
      <c r="L78" s="23">
        <f t="shared" si="12"/>
      </c>
      <c r="M78" s="4"/>
      <c r="N78" s="4"/>
      <c r="O78" s="4"/>
      <c r="P78" s="4"/>
      <c r="Q78" s="4"/>
      <c r="R78" s="4"/>
      <c r="S78" s="4"/>
      <c r="T78" s="4"/>
      <c r="U78" s="4"/>
      <c r="V78" s="4"/>
      <c r="W78" s="4"/>
      <c r="X78" s="4"/>
      <c r="Y78" s="4"/>
      <c r="Z78" s="4"/>
      <c r="AA78" s="4"/>
      <c r="AB78" s="4"/>
      <c r="AC78" s="4"/>
      <c r="AD78" s="4"/>
      <c r="AE78" s="4"/>
      <c r="AF78" s="4"/>
      <c r="AG78" s="4"/>
      <c r="AH78" s="4"/>
      <c r="AI78" s="4"/>
      <c r="AJ78" s="4"/>
      <c r="AK78" s="4"/>
      <c r="AL78" s="3"/>
    </row>
    <row r="79" spans="9:38" ht="12.75">
      <c r="I79" s="12">
        <f t="shared" si="13"/>
      </c>
      <c r="J79" s="13">
        <f t="shared" si="10"/>
      </c>
      <c r="K79" s="4">
        <f t="shared" si="11"/>
      </c>
      <c r="L79" s="23">
        <f t="shared" si="12"/>
      </c>
      <c r="M79" s="4"/>
      <c r="N79" s="4"/>
      <c r="O79" s="4"/>
      <c r="P79" s="4"/>
      <c r="Q79" s="4"/>
      <c r="R79" s="4"/>
      <c r="S79" s="4"/>
      <c r="T79" s="4"/>
      <c r="U79" s="4"/>
      <c r="V79" s="4"/>
      <c r="W79" s="4"/>
      <c r="X79" s="4"/>
      <c r="Y79" s="4"/>
      <c r="Z79" s="4"/>
      <c r="AA79" s="4"/>
      <c r="AB79" s="4"/>
      <c r="AC79" s="4"/>
      <c r="AD79" s="4"/>
      <c r="AE79" s="4"/>
      <c r="AF79" s="4"/>
      <c r="AG79" s="4"/>
      <c r="AH79" s="4"/>
      <c r="AI79" s="4"/>
      <c r="AJ79" s="4"/>
      <c r="AK79" s="4"/>
      <c r="AL79" s="3"/>
    </row>
    <row r="80" spans="9:38" ht="12.75">
      <c r="I80" s="12">
        <f t="shared" si="13"/>
      </c>
      <c r="J80" s="13">
        <f t="shared" si="10"/>
      </c>
      <c r="K80" s="4">
        <f t="shared" si="11"/>
      </c>
      <c r="L80" s="23">
        <f t="shared" si="12"/>
      </c>
      <c r="M80" s="4"/>
      <c r="N80" s="4"/>
      <c r="O80" s="4"/>
      <c r="P80" s="4"/>
      <c r="Q80" s="4"/>
      <c r="R80" s="4"/>
      <c r="S80" s="4"/>
      <c r="T80" s="4"/>
      <c r="U80" s="4"/>
      <c r="V80" s="4"/>
      <c r="W80" s="4"/>
      <c r="X80" s="4"/>
      <c r="Y80" s="4"/>
      <c r="Z80" s="4"/>
      <c r="AA80" s="4"/>
      <c r="AB80" s="4"/>
      <c r="AC80" s="4"/>
      <c r="AD80" s="4"/>
      <c r="AE80" s="4"/>
      <c r="AF80" s="4"/>
      <c r="AG80" s="4"/>
      <c r="AH80" s="4"/>
      <c r="AI80" s="4"/>
      <c r="AJ80" s="4"/>
      <c r="AK80" s="4"/>
      <c r="AL80" s="3"/>
    </row>
    <row r="81" spans="9:38" ht="12.75">
      <c r="I81" s="12">
        <f t="shared" si="13"/>
      </c>
      <c r="J81" s="13">
        <f t="shared" si="10"/>
      </c>
      <c r="K81" s="4">
        <f t="shared" si="11"/>
      </c>
      <c r="L81" s="23">
        <f t="shared" si="12"/>
      </c>
      <c r="M81" s="4"/>
      <c r="N81" s="4"/>
      <c r="O81" s="4"/>
      <c r="P81" s="4"/>
      <c r="Q81" s="4"/>
      <c r="R81" s="4"/>
      <c r="S81" s="4"/>
      <c r="T81" s="4"/>
      <c r="U81" s="4"/>
      <c r="V81" s="4"/>
      <c r="W81" s="4"/>
      <c r="X81" s="4"/>
      <c r="Y81" s="4"/>
      <c r="Z81" s="4"/>
      <c r="AA81" s="4"/>
      <c r="AB81" s="4"/>
      <c r="AC81" s="4"/>
      <c r="AD81" s="4"/>
      <c r="AE81" s="4"/>
      <c r="AF81" s="4"/>
      <c r="AG81" s="4"/>
      <c r="AH81" s="4"/>
      <c r="AI81" s="4"/>
      <c r="AJ81" s="4"/>
      <c r="AK81" s="4"/>
      <c r="AL81" s="3"/>
    </row>
    <row r="82" spans="9:38" ht="12.75">
      <c r="I82" s="12">
        <f t="shared" si="13"/>
      </c>
      <c r="J82" s="13">
        <f t="shared" si="10"/>
      </c>
      <c r="K82" s="4">
        <f t="shared" si="11"/>
      </c>
      <c r="L82" s="23">
        <f t="shared" si="12"/>
      </c>
      <c r="M82" s="4"/>
      <c r="N82" s="4"/>
      <c r="O82" s="4"/>
      <c r="P82" s="4"/>
      <c r="Q82" s="4"/>
      <c r="R82" s="4"/>
      <c r="S82" s="4"/>
      <c r="T82" s="4"/>
      <c r="U82" s="4"/>
      <c r="V82" s="4"/>
      <c r="W82" s="4"/>
      <c r="X82" s="4"/>
      <c r="Y82" s="4"/>
      <c r="Z82" s="4"/>
      <c r="AA82" s="4"/>
      <c r="AB82" s="4"/>
      <c r="AC82" s="4"/>
      <c r="AD82" s="4"/>
      <c r="AE82" s="4"/>
      <c r="AF82" s="4"/>
      <c r="AG82" s="4"/>
      <c r="AH82" s="4"/>
      <c r="AI82" s="4"/>
      <c r="AJ82" s="4"/>
      <c r="AK82" s="4"/>
      <c r="AL82" s="3"/>
    </row>
    <row r="83" spans="9:38" ht="12.75">
      <c r="I83" s="12">
        <f t="shared" si="13"/>
      </c>
      <c r="J83" s="13">
        <f t="shared" si="10"/>
      </c>
      <c r="K83" s="4">
        <f t="shared" si="11"/>
      </c>
      <c r="L83" s="23">
        <f t="shared" si="12"/>
      </c>
      <c r="M83" s="4"/>
      <c r="N83" s="4"/>
      <c r="O83" s="4"/>
      <c r="P83" s="4"/>
      <c r="Q83" s="4"/>
      <c r="R83" s="4"/>
      <c r="S83" s="4"/>
      <c r="T83" s="4"/>
      <c r="U83" s="4"/>
      <c r="V83" s="4"/>
      <c r="W83" s="4"/>
      <c r="X83" s="4"/>
      <c r="Y83" s="4"/>
      <c r="Z83" s="4"/>
      <c r="AA83" s="4"/>
      <c r="AB83" s="4"/>
      <c r="AC83" s="4"/>
      <c r="AD83" s="4"/>
      <c r="AE83" s="4"/>
      <c r="AF83" s="4"/>
      <c r="AG83" s="4"/>
      <c r="AH83" s="4"/>
      <c r="AI83" s="4"/>
      <c r="AJ83" s="4"/>
      <c r="AK83" s="4"/>
      <c r="AL83" s="3"/>
    </row>
    <row r="84" spans="9:38" ht="12.75">
      <c r="I84" s="12">
        <f t="shared" si="13"/>
      </c>
      <c r="J84" s="13">
        <f t="shared" si="10"/>
      </c>
      <c r="K84" s="4">
        <f t="shared" si="11"/>
      </c>
      <c r="L84" s="23">
        <f t="shared" si="12"/>
      </c>
      <c r="M84" s="4"/>
      <c r="N84" s="4"/>
      <c r="O84" s="4"/>
      <c r="P84" s="4"/>
      <c r="Q84" s="4"/>
      <c r="R84" s="4"/>
      <c r="S84" s="4"/>
      <c r="T84" s="4"/>
      <c r="U84" s="4"/>
      <c r="V84" s="4"/>
      <c r="W84" s="4"/>
      <c r="X84" s="4"/>
      <c r="Y84" s="4"/>
      <c r="Z84" s="4"/>
      <c r="AA84" s="4"/>
      <c r="AB84" s="4"/>
      <c r="AC84" s="4"/>
      <c r="AD84" s="4"/>
      <c r="AE84" s="4"/>
      <c r="AF84" s="4"/>
      <c r="AG84" s="4"/>
      <c r="AH84" s="4"/>
      <c r="AI84" s="4"/>
      <c r="AJ84" s="4"/>
      <c r="AK84" s="4"/>
      <c r="AL84" s="3"/>
    </row>
    <row r="85" spans="9:38" ht="12.75">
      <c r="I85" s="12">
        <f t="shared" si="13"/>
      </c>
      <c r="J85" s="13">
        <f t="shared" si="10"/>
      </c>
      <c r="K85" s="4">
        <f t="shared" si="11"/>
      </c>
      <c r="L85" s="23">
        <f t="shared" si="12"/>
      </c>
      <c r="M85" s="4"/>
      <c r="N85" s="4"/>
      <c r="O85" s="4"/>
      <c r="P85" s="4"/>
      <c r="Q85" s="4"/>
      <c r="R85" s="4"/>
      <c r="S85" s="4"/>
      <c r="T85" s="4"/>
      <c r="U85" s="4"/>
      <c r="V85" s="4"/>
      <c r="W85" s="4"/>
      <c r="X85" s="4"/>
      <c r="Y85" s="4"/>
      <c r="Z85" s="4"/>
      <c r="AA85" s="4"/>
      <c r="AB85" s="4"/>
      <c r="AC85" s="4"/>
      <c r="AD85" s="4"/>
      <c r="AE85" s="4"/>
      <c r="AF85" s="4"/>
      <c r="AG85" s="4"/>
      <c r="AH85" s="4"/>
      <c r="AI85" s="4"/>
      <c r="AJ85" s="4"/>
      <c r="AK85" s="4"/>
      <c r="AL85" s="3"/>
    </row>
    <row r="86" spans="9:38" ht="12.75">
      <c r="I86" s="12">
        <f t="shared" si="13"/>
      </c>
      <c r="J86" s="13">
        <f t="shared" si="10"/>
      </c>
      <c r="K86" s="4">
        <f t="shared" si="11"/>
      </c>
      <c r="L86" s="23">
        <f t="shared" si="12"/>
      </c>
      <c r="M86" s="4"/>
      <c r="N86" s="4"/>
      <c r="O86" s="4"/>
      <c r="P86" s="4"/>
      <c r="Q86" s="4"/>
      <c r="R86" s="4"/>
      <c r="S86" s="4"/>
      <c r="T86" s="4"/>
      <c r="U86" s="4"/>
      <c r="V86" s="4"/>
      <c r="W86" s="4"/>
      <c r="X86" s="4"/>
      <c r="Y86" s="4"/>
      <c r="Z86" s="4"/>
      <c r="AA86" s="4"/>
      <c r="AB86" s="4"/>
      <c r="AC86" s="4"/>
      <c r="AD86" s="4"/>
      <c r="AE86" s="4"/>
      <c r="AF86" s="4"/>
      <c r="AG86" s="4"/>
      <c r="AH86" s="4"/>
      <c r="AI86" s="4"/>
      <c r="AJ86" s="4"/>
      <c r="AK86" s="4"/>
      <c r="AL86" s="3"/>
    </row>
    <row r="87" spans="9:38" ht="12.75">
      <c r="I87" s="12">
        <f t="shared" si="13"/>
      </c>
      <c r="J87" s="13">
        <f t="shared" si="10"/>
      </c>
      <c r="K87" s="4">
        <f t="shared" si="11"/>
      </c>
      <c r="L87" s="23">
        <f t="shared" si="12"/>
      </c>
      <c r="M87" s="4"/>
      <c r="N87" s="4"/>
      <c r="O87" s="4"/>
      <c r="P87" s="4"/>
      <c r="Q87" s="4"/>
      <c r="R87" s="4"/>
      <c r="S87" s="4"/>
      <c r="T87" s="4"/>
      <c r="U87" s="4"/>
      <c r="V87" s="4"/>
      <c r="W87" s="4"/>
      <c r="X87" s="4"/>
      <c r="Y87" s="4"/>
      <c r="Z87" s="4"/>
      <c r="AA87" s="4"/>
      <c r="AB87" s="4"/>
      <c r="AC87" s="4"/>
      <c r="AD87" s="4"/>
      <c r="AE87" s="4"/>
      <c r="AF87" s="4"/>
      <c r="AG87" s="4"/>
      <c r="AH87" s="4"/>
      <c r="AI87" s="4"/>
      <c r="AJ87" s="4"/>
      <c r="AK87" s="4"/>
      <c r="AL87" s="3"/>
    </row>
    <row r="88" spans="9:38" ht="12.75">
      <c r="I88" s="12">
        <f t="shared" si="13"/>
      </c>
      <c r="J88" s="13">
        <f t="shared" si="10"/>
      </c>
      <c r="K88" s="4">
        <f t="shared" si="11"/>
      </c>
      <c r="L88" s="23">
        <f t="shared" si="12"/>
      </c>
      <c r="M88" s="4"/>
      <c r="N88" s="4"/>
      <c r="O88" s="4"/>
      <c r="P88" s="4"/>
      <c r="Q88" s="4"/>
      <c r="R88" s="4"/>
      <c r="S88" s="4"/>
      <c r="T88" s="4"/>
      <c r="U88" s="4"/>
      <c r="V88" s="4"/>
      <c r="W88" s="4"/>
      <c r="X88" s="4"/>
      <c r="Y88" s="4"/>
      <c r="Z88" s="4"/>
      <c r="AA88" s="4"/>
      <c r="AB88" s="4"/>
      <c r="AC88" s="4"/>
      <c r="AD88" s="4"/>
      <c r="AE88" s="4"/>
      <c r="AF88" s="4"/>
      <c r="AG88" s="4"/>
      <c r="AH88" s="4"/>
      <c r="AI88" s="4"/>
      <c r="AJ88" s="4"/>
      <c r="AK88" s="4"/>
      <c r="AL88" s="3"/>
    </row>
    <row r="89" spans="9:38" ht="12.75">
      <c r="I89" s="12">
        <f t="shared" si="13"/>
      </c>
      <c r="J89" s="13">
        <f t="shared" si="10"/>
      </c>
      <c r="K89" s="4">
        <f t="shared" si="11"/>
      </c>
      <c r="L89" s="23">
        <f t="shared" si="12"/>
      </c>
      <c r="M89" s="4"/>
      <c r="N89" s="4"/>
      <c r="O89" s="4"/>
      <c r="P89" s="4"/>
      <c r="Q89" s="4"/>
      <c r="R89" s="4"/>
      <c r="S89" s="4"/>
      <c r="T89" s="4"/>
      <c r="U89" s="4"/>
      <c r="V89" s="4"/>
      <c r="W89" s="4"/>
      <c r="X89" s="4"/>
      <c r="Y89" s="4"/>
      <c r="Z89" s="4"/>
      <c r="AA89" s="4"/>
      <c r="AB89" s="4"/>
      <c r="AC89" s="4"/>
      <c r="AD89" s="4"/>
      <c r="AE89" s="4"/>
      <c r="AF89" s="4"/>
      <c r="AG89" s="4"/>
      <c r="AH89" s="4"/>
      <c r="AI89" s="4"/>
      <c r="AJ89" s="4"/>
      <c r="AK89" s="4"/>
      <c r="AL89" s="3"/>
    </row>
    <row r="90" spans="9:38" ht="12.75">
      <c r="I90" s="12">
        <f t="shared" si="13"/>
      </c>
      <c r="J90" s="13">
        <f t="shared" si="10"/>
      </c>
      <c r="K90" s="4">
        <f t="shared" si="11"/>
      </c>
      <c r="L90" s="23">
        <f t="shared" si="12"/>
      </c>
      <c r="M90" s="4"/>
      <c r="N90" s="4"/>
      <c r="O90" s="4"/>
      <c r="P90" s="4"/>
      <c r="Q90" s="4"/>
      <c r="R90" s="4"/>
      <c r="S90" s="4"/>
      <c r="T90" s="4"/>
      <c r="U90" s="4"/>
      <c r="V90" s="4"/>
      <c r="W90" s="4"/>
      <c r="X90" s="4"/>
      <c r="Y90" s="4"/>
      <c r="Z90" s="4"/>
      <c r="AA90" s="4"/>
      <c r="AB90" s="4"/>
      <c r="AC90" s="4"/>
      <c r="AD90" s="4"/>
      <c r="AE90" s="4"/>
      <c r="AF90" s="4"/>
      <c r="AG90" s="4"/>
      <c r="AH90" s="4"/>
      <c r="AI90" s="4"/>
      <c r="AJ90" s="4"/>
      <c r="AK90" s="4"/>
      <c r="AL90" s="3"/>
    </row>
    <row r="91" spans="9:38" ht="12.75">
      <c r="I91" s="12">
        <f t="shared" si="13"/>
      </c>
      <c r="J91" s="13">
        <f t="shared" si="10"/>
      </c>
      <c r="K91" s="4">
        <f t="shared" si="11"/>
      </c>
      <c r="L91" s="23">
        <f t="shared" si="12"/>
      </c>
      <c r="M91" s="4"/>
      <c r="N91" s="4"/>
      <c r="O91" s="4"/>
      <c r="P91" s="4"/>
      <c r="Q91" s="4"/>
      <c r="R91" s="4"/>
      <c r="S91" s="4"/>
      <c r="T91" s="4"/>
      <c r="U91" s="4"/>
      <c r="V91" s="4"/>
      <c r="W91" s="4"/>
      <c r="X91" s="4"/>
      <c r="Y91" s="4"/>
      <c r="Z91" s="4"/>
      <c r="AA91" s="4"/>
      <c r="AB91" s="4"/>
      <c r="AC91" s="4"/>
      <c r="AD91" s="4"/>
      <c r="AE91" s="4"/>
      <c r="AF91" s="4"/>
      <c r="AG91" s="4"/>
      <c r="AH91" s="4"/>
      <c r="AI91" s="4"/>
      <c r="AJ91" s="4"/>
      <c r="AK91" s="4"/>
      <c r="AL91" s="3"/>
    </row>
    <row r="92" spans="9:38" ht="12.75">
      <c r="I92" s="12">
        <f t="shared" si="13"/>
      </c>
      <c r="J92" s="13">
        <f t="shared" si="10"/>
      </c>
      <c r="K92" s="4">
        <f t="shared" si="11"/>
      </c>
      <c r="L92" s="23">
        <f t="shared" si="12"/>
      </c>
      <c r="M92" s="4"/>
      <c r="N92" s="4"/>
      <c r="O92" s="4"/>
      <c r="P92" s="4"/>
      <c r="Q92" s="4"/>
      <c r="R92" s="4"/>
      <c r="S92" s="4"/>
      <c r="T92" s="4"/>
      <c r="U92" s="4"/>
      <c r="V92" s="4"/>
      <c r="W92" s="4"/>
      <c r="X92" s="4"/>
      <c r="Y92" s="4"/>
      <c r="Z92" s="4"/>
      <c r="AA92" s="4"/>
      <c r="AB92" s="4"/>
      <c r="AC92" s="4"/>
      <c r="AD92" s="4"/>
      <c r="AE92" s="4"/>
      <c r="AF92" s="4"/>
      <c r="AG92" s="4"/>
      <c r="AH92" s="4"/>
      <c r="AI92" s="4"/>
      <c r="AJ92" s="4"/>
      <c r="AK92" s="4"/>
      <c r="AL92" s="3"/>
    </row>
    <row r="93" spans="9:38" ht="12.75">
      <c r="I93" s="12">
        <f t="shared" si="13"/>
      </c>
      <c r="J93" s="13">
        <f t="shared" si="10"/>
      </c>
      <c r="K93" s="4">
        <f t="shared" si="11"/>
      </c>
      <c r="L93" s="23">
        <f t="shared" si="12"/>
      </c>
      <c r="M93" s="4"/>
      <c r="N93" s="4"/>
      <c r="O93" s="4"/>
      <c r="P93" s="4"/>
      <c r="Q93" s="4"/>
      <c r="R93" s="4"/>
      <c r="S93" s="4"/>
      <c r="T93" s="4"/>
      <c r="U93" s="4"/>
      <c r="V93" s="4"/>
      <c r="W93" s="4"/>
      <c r="X93" s="4"/>
      <c r="Y93" s="4"/>
      <c r="Z93" s="4"/>
      <c r="AA93" s="4"/>
      <c r="AB93" s="4"/>
      <c r="AC93" s="4"/>
      <c r="AD93" s="4"/>
      <c r="AE93" s="4"/>
      <c r="AF93" s="4"/>
      <c r="AG93" s="4"/>
      <c r="AH93" s="4"/>
      <c r="AI93" s="4"/>
      <c r="AJ93" s="4"/>
      <c r="AK93" s="4"/>
      <c r="AL93" s="3"/>
    </row>
    <row r="94" spans="9:38" ht="12.75">
      <c r="I94" s="12">
        <f t="shared" si="13"/>
      </c>
      <c r="J94" s="13">
        <f t="shared" si="10"/>
      </c>
      <c r="K94" s="4">
        <f t="shared" si="11"/>
      </c>
      <c r="L94" s="23">
        <f t="shared" si="12"/>
      </c>
      <c r="M94" s="4"/>
      <c r="N94" s="4"/>
      <c r="O94" s="4"/>
      <c r="P94" s="4"/>
      <c r="Q94" s="4"/>
      <c r="R94" s="4"/>
      <c r="S94" s="4"/>
      <c r="T94" s="4"/>
      <c r="U94" s="4"/>
      <c r="V94" s="4"/>
      <c r="W94" s="4"/>
      <c r="X94" s="4"/>
      <c r="Y94" s="4"/>
      <c r="Z94" s="4"/>
      <c r="AA94" s="4"/>
      <c r="AB94" s="4"/>
      <c r="AC94" s="4"/>
      <c r="AD94" s="4"/>
      <c r="AE94" s="4"/>
      <c r="AF94" s="4"/>
      <c r="AG94" s="4"/>
      <c r="AH94" s="4"/>
      <c r="AI94" s="4"/>
      <c r="AJ94" s="4"/>
      <c r="AK94" s="4"/>
      <c r="AL94" s="3"/>
    </row>
    <row r="95" spans="9:38" ht="12.75">
      <c r="I95" s="12">
        <f t="shared" si="13"/>
      </c>
      <c r="J95" s="13">
        <f t="shared" si="10"/>
      </c>
      <c r="K95" s="4">
        <f t="shared" si="11"/>
      </c>
      <c r="L95" s="23">
        <f t="shared" si="12"/>
      </c>
      <c r="M95" s="4"/>
      <c r="N95" s="4"/>
      <c r="O95" s="4"/>
      <c r="P95" s="4"/>
      <c r="Q95" s="4"/>
      <c r="R95" s="4"/>
      <c r="S95" s="4"/>
      <c r="T95" s="4"/>
      <c r="U95" s="4"/>
      <c r="V95" s="4"/>
      <c r="W95" s="4"/>
      <c r="X95" s="4"/>
      <c r="Y95" s="4"/>
      <c r="Z95" s="4"/>
      <c r="AA95" s="4"/>
      <c r="AB95" s="4"/>
      <c r="AC95" s="4"/>
      <c r="AD95" s="4"/>
      <c r="AE95" s="4"/>
      <c r="AF95" s="4"/>
      <c r="AG95" s="4"/>
      <c r="AH95" s="4"/>
      <c r="AI95" s="4"/>
      <c r="AJ95" s="4"/>
      <c r="AK95" s="4"/>
      <c r="AL95" s="3"/>
    </row>
    <row r="96" spans="9:38" ht="12.75">
      <c r="I96" s="12">
        <f t="shared" si="13"/>
      </c>
      <c r="J96" s="13">
        <f t="shared" si="10"/>
      </c>
      <c r="K96" s="4">
        <f t="shared" si="11"/>
      </c>
      <c r="L96" s="23">
        <f t="shared" si="12"/>
      </c>
      <c r="M96" s="4"/>
      <c r="N96" s="4"/>
      <c r="O96" s="4"/>
      <c r="P96" s="4"/>
      <c r="Q96" s="4"/>
      <c r="R96" s="4"/>
      <c r="S96" s="4"/>
      <c r="T96" s="4"/>
      <c r="U96" s="4"/>
      <c r="V96" s="4"/>
      <c r="W96" s="4"/>
      <c r="X96" s="4"/>
      <c r="Y96" s="4"/>
      <c r="Z96" s="4"/>
      <c r="AA96" s="4"/>
      <c r="AB96" s="4"/>
      <c r="AC96" s="4"/>
      <c r="AD96" s="4"/>
      <c r="AE96" s="4"/>
      <c r="AF96" s="4"/>
      <c r="AG96" s="4"/>
      <c r="AH96" s="4"/>
      <c r="AI96" s="4"/>
      <c r="AJ96" s="4"/>
      <c r="AK96" s="4"/>
      <c r="AL96" s="3"/>
    </row>
    <row r="97" spans="9:38" ht="12.75">
      <c r="I97" s="12">
        <f t="shared" si="13"/>
      </c>
      <c r="J97" s="13">
        <f t="shared" si="10"/>
      </c>
      <c r="K97" s="4">
        <f t="shared" si="11"/>
      </c>
      <c r="L97" s="23">
        <f t="shared" si="12"/>
      </c>
      <c r="M97" s="4"/>
      <c r="N97" s="4"/>
      <c r="O97" s="4"/>
      <c r="P97" s="4"/>
      <c r="Q97" s="4"/>
      <c r="R97" s="4"/>
      <c r="S97" s="4"/>
      <c r="T97" s="4"/>
      <c r="U97" s="4"/>
      <c r="V97" s="4"/>
      <c r="W97" s="4"/>
      <c r="X97" s="4"/>
      <c r="Y97" s="4"/>
      <c r="Z97" s="4"/>
      <c r="AA97" s="4"/>
      <c r="AB97" s="4"/>
      <c r="AC97" s="4"/>
      <c r="AD97" s="4"/>
      <c r="AE97" s="4"/>
      <c r="AF97" s="4"/>
      <c r="AG97" s="4"/>
      <c r="AH97" s="4"/>
      <c r="AI97" s="4"/>
      <c r="AJ97" s="4"/>
      <c r="AK97" s="4"/>
      <c r="AL97" s="3"/>
    </row>
    <row r="98" spans="9:38" ht="12.75">
      <c r="I98" s="12">
        <f t="shared" si="13"/>
      </c>
      <c r="J98" s="13">
        <f t="shared" si="10"/>
      </c>
      <c r="K98" s="4">
        <f t="shared" si="11"/>
      </c>
      <c r="L98" s="23">
        <f t="shared" si="12"/>
      </c>
      <c r="M98" s="4"/>
      <c r="N98" s="4"/>
      <c r="O98" s="4"/>
      <c r="P98" s="4"/>
      <c r="Q98" s="4"/>
      <c r="R98" s="4"/>
      <c r="S98" s="4"/>
      <c r="T98" s="4"/>
      <c r="U98" s="4"/>
      <c r="V98" s="4"/>
      <c r="W98" s="4"/>
      <c r="X98" s="4"/>
      <c r="Y98" s="4"/>
      <c r="Z98" s="4"/>
      <c r="AA98" s="4"/>
      <c r="AB98" s="4"/>
      <c r="AC98" s="4"/>
      <c r="AD98" s="4"/>
      <c r="AE98" s="4"/>
      <c r="AF98" s="4"/>
      <c r="AG98" s="4"/>
      <c r="AH98" s="4"/>
      <c r="AI98" s="4"/>
      <c r="AJ98" s="4"/>
      <c r="AK98" s="4"/>
      <c r="AL98" s="3"/>
    </row>
    <row r="99" spans="9:38" ht="12.75">
      <c r="I99" s="12">
        <f t="shared" si="13"/>
      </c>
      <c r="J99" s="13">
        <f t="shared" si="10"/>
      </c>
      <c r="K99" s="4">
        <f t="shared" si="11"/>
      </c>
      <c r="L99" s="23">
        <f t="shared" si="12"/>
      </c>
      <c r="M99" s="4"/>
      <c r="N99" s="4"/>
      <c r="O99" s="4"/>
      <c r="P99" s="4"/>
      <c r="Q99" s="4"/>
      <c r="R99" s="4"/>
      <c r="S99" s="4"/>
      <c r="T99" s="4"/>
      <c r="U99" s="4"/>
      <c r="V99" s="4"/>
      <c r="W99" s="4"/>
      <c r="X99" s="4"/>
      <c r="Y99" s="4"/>
      <c r="Z99" s="4"/>
      <c r="AA99" s="4"/>
      <c r="AB99" s="4"/>
      <c r="AC99" s="4"/>
      <c r="AD99" s="4"/>
      <c r="AE99" s="4"/>
      <c r="AF99" s="4"/>
      <c r="AG99" s="4"/>
      <c r="AH99" s="4"/>
      <c r="AI99" s="4"/>
      <c r="AJ99" s="4"/>
      <c r="AK99" s="4"/>
      <c r="AL99" s="3"/>
    </row>
  </sheetData>
  <sheetProtection password="F639"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Vatnamælingar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jfj</dc:creator>
  <cp:keywords/>
  <dc:description/>
  <cp:lastModifiedBy>sgunn</cp:lastModifiedBy>
  <dcterms:created xsi:type="dcterms:W3CDTF">2002-06-27T16:21:32Z</dcterms:created>
  <dcterms:modified xsi:type="dcterms:W3CDTF">2008-01-10T16:05:22Z</dcterms:modified>
  <cp:category/>
  <cp:version/>
  <cp:contentType/>
  <cp:contentStatus/>
</cp:coreProperties>
</file>